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75" windowWidth="15795" windowHeight="9585" firstSheet="4" activeTab="9"/>
  </bookViews>
  <sheets>
    <sheet name="January 2013" sheetId="1" r:id="rId1"/>
    <sheet name="February 2013" sheetId="2" r:id="rId2"/>
    <sheet name="March 2013" sheetId="3" r:id="rId3"/>
    <sheet name="April 2013" sheetId="4" r:id="rId4"/>
    <sheet name="May 2013" sheetId="5" r:id="rId5"/>
    <sheet name="June 2013" sheetId="6" r:id="rId6"/>
    <sheet name="July 2013" sheetId="7" r:id="rId7"/>
    <sheet name="August 2013" sheetId="8" r:id="rId8"/>
    <sheet name="September 2013" sheetId="9" r:id="rId9"/>
    <sheet name="October 2013" sheetId="10" r:id="rId10"/>
    <sheet name="November 2013" sheetId="11" r:id="rId11"/>
    <sheet name="December 2013" sheetId="12" r:id="rId12"/>
  </sheets>
  <definedNames>
    <definedName name="_xlnm.Print_Area" localSheetId="3">'April 2013'!$A$1:$AF$43</definedName>
    <definedName name="_xlnm.Print_Area" localSheetId="11">'December 2013'!$A$1:$AI$62</definedName>
    <definedName name="_xlnm.Print_Area" localSheetId="1">'February 2013'!$A$1:$AF$62</definedName>
    <definedName name="_xlnm.Print_Area" localSheetId="0">'January 2013'!$A$1:$AH$62</definedName>
    <definedName name="_xlnm.Print_Area" localSheetId="2">'March 2013'!$A$1:$AH$62</definedName>
    <definedName name="_xlnm.Print_Area" localSheetId="4">'May 2013'!$A$1:$AG$43</definedName>
    <definedName name="_xlnm.Print_Area" localSheetId="10">'November 2013'!$A$1:$AF$62</definedName>
    <definedName name="_xlnm.Print_Area" localSheetId="9">'October 2013'!$A$1:$AI$63</definedName>
    <definedName name="_xlnm.Print_Area" localSheetId="8">'September 2013'!$A$1:$AF$38</definedName>
  </definedNames>
  <calcPr fullCalcOnLoad="1"/>
</workbook>
</file>

<file path=xl/sharedStrings.xml><?xml version="1.0" encoding="utf-8"?>
<sst xmlns="http://schemas.openxmlformats.org/spreadsheetml/2006/main" count="460" uniqueCount="35">
  <si>
    <t>City of Wilmington</t>
  </si>
  <si>
    <t xml:space="preserve">    * Brandywine Filter Plt.</t>
  </si>
  <si>
    <t xml:space="preserve">   * Porter Filter Plant</t>
  </si>
  <si>
    <t>Artesian Water Co.</t>
  </si>
  <si>
    <t xml:space="preserve">    * Wells</t>
  </si>
  <si>
    <t xml:space="preserve">    * CWA (PA) Intercon.</t>
  </si>
  <si>
    <t xml:space="preserve">    * New Castle Intercon.</t>
  </si>
  <si>
    <t xml:space="preserve">    * Wilmington Intercon.</t>
  </si>
  <si>
    <t>United Water Delaware</t>
  </si>
  <si>
    <t xml:space="preserve">    * White Clay Cr./Stanton</t>
  </si>
  <si>
    <t xml:space="preserve">        - Hoopes Release</t>
  </si>
  <si>
    <t xml:space="preserve">    * Artesian Intercon.</t>
  </si>
  <si>
    <t>City of Newark</t>
  </si>
  <si>
    <t xml:space="preserve">    * White Clay Cr. WTP</t>
  </si>
  <si>
    <t xml:space="preserve">    * United Intercon.</t>
  </si>
  <si>
    <t>New Castle Brd. of W &amp; L</t>
  </si>
  <si>
    <t>Subtotal</t>
  </si>
  <si>
    <t>- Del. Interconnections</t>
  </si>
  <si>
    <t xml:space="preserve">    * Christina River WTP                    </t>
  </si>
  <si>
    <t xml:space="preserve">    * Wells (North)</t>
  </si>
  <si>
    <t>Note: Water demand data provided by the public water purveyors and compiled by the University of Delaware, Institute for Public Administration,  Water Resources Agency.</t>
  </si>
  <si>
    <t>Water Purveyor</t>
  </si>
  <si>
    <t xml:space="preserve"> </t>
  </si>
  <si>
    <t>Water Production in Northern New Castle County</t>
  </si>
  <si>
    <t xml:space="preserve">            .newport bridge</t>
  </si>
  <si>
    <t xml:space="preserve"> Raw Chlorides(Stanton Plt)</t>
  </si>
  <si>
    <t xml:space="preserve">            .churchman's</t>
  </si>
  <si>
    <t xml:space="preserve">            .tcs</t>
  </si>
  <si>
    <t>ASR</t>
  </si>
  <si>
    <t>AVG</t>
  </si>
  <si>
    <t>*Newark Resevoir</t>
  </si>
  <si>
    <t xml:space="preserve">    * Newark Reservoir</t>
  </si>
  <si>
    <t>Note: Water demand data provided by the public water purveyors and compiled by the University of Delaware, Institute for Public Administration, Water Resources Agency.</t>
  </si>
  <si>
    <t>Mean</t>
  </si>
  <si>
    <t>&lt;-- Last year's average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</si>
</sst>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0.0"/>
    <numFmt numFmtId="167" formatCode="0.00_)"/>
    <numFmt numFmtId="168" formatCode="0.000"/>
  </numFmts>
  <fonts count="46">
    <font>
      <sz val="12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u val="single"/>
      <sz val="18"/>
      <name val="Arial"/>
      <family val="2"/>
    </font>
    <font>
      <sz val="18"/>
      <name val="Arial"/>
      <family val="2"/>
    </font>
    <font>
      <b/>
      <sz val="16"/>
      <color indexed="23"/>
      <name val="Arial"/>
      <family val="2"/>
    </font>
    <font>
      <sz val="16"/>
      <name val="Times New Roman"/>
      <family val="1"/>
    </font>
    <font>
      <u val="single"/>
      <sz val="16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7" fontId="2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>
      <alignment horizontal="left"/>
    </xf>
    <xf numFmtId="0" fontId="2" fillId="0" borderId="0" xfId="0" applyFont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Continuous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 horizontal="center"/>
      <protection/>
    </xf>
    <xf numFmtId="164" fontId="2" fillId="0" borderId="12" xfId="0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Fill="1" applyAlignment="1" applyProtection="1">
      <alignment horizontal="center"/>
      <protection/>
    </xf>
    <xf numFmtId="166" fontId="6" fillId="0" borderId="0" xfId="0" applyNumberFormat="1" applyFont="1" applyFill="1" applyAlignment="1" applyProtection="1">
      <alignment horizontal="center"/>
      <protection/>
    </xf>
    <xf numFmtId="164" fontId="6" fillId="0" borderId="12" xfId="0" applyNumberFormat="1" applyFont="1" applyFill="1" applyBorder="1" applyAlignment="1" applyProtection="1">
      <alignment horizontal="center"/>
      <protection/>
    </xf>
    <xf numFmtId="166" fontId="6" fillId="0" borderId="12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0" fontId="0" fillId="0" borderId="0" xfId="0" applyFill="1" applyAlignment="1">
      <alignment/>
    </xf>
    <xf numFmtId="166" fontId="6" fillId="0" borderId="0" xfId="0" applyNumberFormat="1" applyFont="1" applyFill="1" applyBorder="1" applyAlignment="1" applyProtection="1">
      <alignment horizontal="center"/>
      <protection/>
    </xf>
    <xf numFmtId="166" fontId="6" fillId="0" borderId="13" xfId="0" applyNumberFormat="1" applyFont="1" applyFill="1" applyBorder="1" applyAlignment="1" applyProtection="1">
      <alignment horizontal="center"/>
      <protection/>
    </xf>
    <xf numFmtId="166" fontId="9" fillId="0" borderId="0" xfId="0" applyNumberFormat="1" applyFont="1" applyAlignment="1" applyProtection="1">
      <alignment horizontal="center"/>
      <protection/>
    </xf>
    <xf numFmtId="166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17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/>
      <protection/>
    </xf>
    <xf numFmtId="164" fontId="8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166" fontId="8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>
      <alignment horizontal="left"/>
    </xf>
    <xf numFmtId="164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6" fontId="2" fillId="0" borderId="0" xfId="0" applyNumberFormat="1" applyFont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 horizontal="center"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6" fontId="2" fillId="0" borderId="13" xfId="0" applyNumberFormat="1" applyFont="1" applyFill="1" applyBorder="1" applyAlignment="1" applyProtection="1">
      <alignment horizontal="center"/>
      <protection/>
    </xf>
    <xf numFmtId="166" fontId="2" fillId="0" borderId="0" xfId="0" applyNumberFormat="1" applyFont="1" applyFill="1" applyAlignment="1" applyProtection="1">
      <alignment/>
      <protection/>
    </xf>
    <xf numFmtId="2" fontId="10" fillId="0" borderId="0" xfId="56" applyNumberFormat="1" applyFont="1" applyAlignment="1">
      <alignment horizontal="center"/>
      <protection/>
    </xf>
    <xf numFmtId="2" fontId="10" fillId="0" borderId="0" xfId="0" applyNumberFormat="1" applyFont="1" applyAlignment="1" applyProtection="1">
      <alignment horizontal="center"/>
      <protection/>
    </xf>
    <xf numFmtId="2" fontId="3" fillId="0" borderId="0" xfId="0" applyNumberFormat="1" applyFont="1" applyAlignment="1" applyProtection="1">
      <alignment horizontal="center"/>
      <protection/>
    </xf>
    <xf numFmtId="166" fontId="2" fillId="0" borderId="12" xfId="0" applyNumberFormat="1" applyFont="1" applyFill="1" applyBorder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165" fontId="2" fillId="0" borderId="0" xfId="0" applyNumberFormat="1" applyFont="1" applyFill="1" applyAlignment="1" applyProtection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6" fontId="2" fillId="0" borderId="10" xfId="0" applyNumberFormat="1" applyFont="1" applyFill="1" applyBorder="1" applyAlignment="1" applyProtection="1">
      <alignment horizontal="center"/>
      <protection/>
    </xf>
    <xf numFmtId="166" fontId="4" fillId="0" borderId="0" xfId="0" applyNumberFormat="1" applyFont="1" applyFill="1" applyAlignment="1" applyProtection="1">
      <alignment horizontal="center"/>
      <protection/>
    </xf>
    <xf numFmtId="166" fontId="2" fillId="0" borderId="11" xfId="0" applyNumberFormat="1" applyFont="1" applyFill="1" applyBorder="1" applyAlignment="1" applyProtection="1">
      <alignment horizontal="center"/>
      <protection/>
    </xf>
    <xf numFmtId="165" fontId="11" fillId="0" borderId="0" xfId="0" applyNumberFormat="1" applyFont="1" applyFill="1" applyAlignment="1" applyProtection="1">
      <alignment horizontal="center"/>
      <protection/>
    </xf>
    <xf numFmtId="0" fontId="11" fillId="0" borderId="0" xfId="0" applyNumberFormat="1" applyFont="1" applyFill="1" applyAlignment="1" applyProtection="1">
      <alignment horizontal="center"/>
      <protection/>
    </xf>
    <xf numFmtId="0" fontId="11" fillId="0" borderId="0" xfId="0" applyFont="1" applyFill="1" applyAlignment="1" applyProtection="1">
      <alignment horizontal="center"/>
      <protection/>
    </xf>
    <xf numFmtId="164" fontId="2" fillId="0" borderId="13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164" fontId="3" fillId="0" borderId="10" xfId="0" applyNumberFormat="1" applyFont="1" applyFill="1" applyBorder="1" applyAlignment="1" applyProtection="1">
      <alignment horizontal="center"/>
      <protection/>
    </xf>
    <xf numFmtId="166" fontId="3" fillId="0" borderId="10" xfId="0" applyNumberFormat="1" applyFont="1" applyFill="1" applyBorder="1" applyAlignment="1" applyProtection="1">
      <alignment horizontal="center"/>
      <protection/>
    </xf>
    <xf numFmtId="164" fontId="6" fillId="0" borderId="13" xfId="0" applyNumberFormat="1" applyFont="1" applyFill="1" applyBorder="1" applyAlignment="1" applyProtection="1">
      <alignment horizontal="center"/>
      <protection/>
    </xf>
    <xf numFmtId="2" fontId="2" fillId="0" borderId="14" xfId="0" applyNumberFormat="1" applyFont="1" applyFill="1" applyBorder="1" applyAlignment="1" applyProtection="1">
      <alignment horizontal="center"/>
      <protection/>
    </xf>
    <xf numFmtId="0" fontId="2" fillId="0" borderId="14" xfId="56" applyFont="1" applyFill="1" applyBorder="1" applyAlignment="1">
      <alignment/>
      <protection/>
    </xf>
    <xf numFmtId="2" fontId="2" fillId="0" borderId="14" xfId="56" applyNumberFormat="1" applyFont="1" applyFill="1" applyBorder="1" applyAlignment="1">
      <alignment horizontal="center"/>
      <protection/>
    </xf>
    <xf numFmtId="164" fontId="2" fillId="0" borderId="14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6" fontId="2" fillId="0" borderId="14" xfId="0" applyNumberFormat="1" applyFont="1" applyFill="1" applyBorder="1" applyAlignment="1" applyProtection="1">
      <alignment horizontal="center"/>
      <protection/>
    </xf>
    <xf numFmtId="166" fontId="6" fillId="0" borderId="14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Fill="1" applyAlignment="1" applyProtection="1">
      <alignment horizontal="center"/>
      <protection/>
    </xf>
    <xf numFmtId="166" fontId="4" fillId="0" borderId="14" xfId="0" applyNumberFormat="1" applyFont="1" applyFill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/>
      <protection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 applyProtection="1">
      <alignment horizontal="center"/>
      <protection/>
    </xf>
    <xf numFmtId="166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Alignment="1" applyProtection="1">
      <alignment/>
      <protection/>
    </xf>
    <xf numFmtId="166" fontId="3" fillId="0" borderId="0" xfId="0" applyNumberFormat="1" applyFont="1" applyFill="1" applyAlignment="1" applyProtection="1">
      <alignment horizontal="center"/>
      <protection/>
    </xf>
    <xf numFmtId="165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166" fontId="3" fillId="0" borderId="14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/>
    </xf>
    <xf numFmtId="2" fontId="3" fillId="0" borderId="0" xfId="56" applyNumberFormat="1" applyFont="1" applyBorder="1" applyAlignment="1">
      <alignment horizontal="center"/>
      <protection/>
    </xf>
    <xf numFmtId="2" fontId="3" fillId="0" borderId="0" xfId="56" applyNumberFormat="1" applyFont="1" applyAlignment="1">
      <alignment horizontal="center"/>
      <protection/>
    </xf>
    <xf numFmtId="2" fontId="10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Fill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166" fontId="3" fillId="0" borderId="0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 applyProtection="1">
      <alignment horizontal="center"/>
      <protection/>
    </xf>
    <xf numFmtId="166" fontId="11" fillId="0" borderId="14" xfId="0" applyNumberFormat="1" applyFont="1" applyFill="1" applyBorder="1" applyAlignment="1" applyProtection="1">
      <alignment horizontal="center"/>
      <protection/>
    </xf>
    <xf numFmtId="2" fontId="2" fillId="0" borderId="12" xfId="0" applyNumberFormat="1" applyFont="1" applyFill="1" applyBorder="1" applyAlignment="1" applyProtection="1">
      <alignment horizontal="center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 applyProtection="1">
      <alignment horizontal="right"/>
      <protection/>
    </xf>
    <xf numFmtId="165" fontId="3" fillId="0" borderId="0" xfId="0" applyNumberFormat="1" applyFont="1" applyFill="1" applyBorder="1" applyAlignment="1" applyProtection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166" fontId="6" fillId="0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Border="1" applyAlignment="1">
      <alignment horizontal="right"/>
    </xf>
    <xf numFmtId="16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/>
      <protection/>
    </xf>
    <xf numFmtId="166" fontId="8" fillId="0" borderId="0" xfId="0" applyNumberFormat="1" applyFont="1" applyBorder="1" applyAlignment="1">
      <alignment/>
    </xf>
    <xf numFmtId="166" fontId="8" fillId="0" borderId="0" xfId="0" applyNumberFormat="1" applyFont="1" applyBorder="1" applyAlignment="1" applyProtection="1">
      <alignment horizontal="center"/>
      <protection/>
    </xf>
    <xf numFmtId="166" fontId="8" fillId="0" borderId="0" xfId="0" applyNumberFormat="1" applyFont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 horizontal="center"/>
      <protection/>
    </xf>
    <xf numFmtId="166" fontId="2" fillId="0" borderId="12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 applyProtection="1">
      <alignment horizontal="right"/>
      <protection/>
    </xf>
    <xf numFmtId="166" fontId="6" fillId="0" borderId="12" xfId="0" applyNumberFormat="1" applyFont="1" applyFill="1" applyBorder="1" applyAlignment="1" applyProtection="1">
      <alignment horizontal="right"/>
      <protection/>
    </xf>
    <xf numFmtId="166" fontId="3" fillId="0" borderId="12" xfId="0" applyNumberFormat="1" applyFont="1" applyFill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  <protection/>
    </xf>
    <xf numFmtId="166" fontId="2" fillId="0" borderId="13" xfId="0" applyNumberFormat="1" applyFont="1" applyFill="1" applyBorder="1" applyAlignment="1" applyProtection="1">
      <alignment horizontal="right"/>
      <protection/>
    </xf>
    <xf numFmtId="166" fontId="6" fillId="0" borderId="13" xfId="0" applyNumberFormat="1" applyFont="1" applyFill="1" applyBorder="1" applyAlignment="1" applyProtection="1">
      <alignment horizontal="right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Fill="1" applyBorder="1" applyAlignment="1" applyProtection="1">
      <alignment horizontal="center"/>
      <protection/>
    </xf>
    <xf numFmtId="2" fontId="8" fillId="33" borderId="0" xfId="0" applyNumberFormat="1" applyFont="1" applyFill="1" applyBorder="1" applyAlignment="1" applyProtection="1">
      <alignment horizontal="center"/>
      <protection/>
    </xf>
    <xf numFmtId="166" fontId="3" fillId="0" borderId="0" xfId="55" applyNumberFormat="1" applyFont="1" applyAlignment="1">
      <alignment horizontal="right"/>
      <protection/>
    </xf>
    <xf numFmtId="166" fontId="8" fillId="0" borderId="0" xfId="0" applyNumberFormat="1" applyFont="1" applyFill="1" applyBorder="1" applyAlignment="1" applyProtection="1">
      <alignment horizontal="right"/>
      <protection/>
    </xf>
    <xf numFmtId="166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 applyProtection="1">
      <alignment horizontal="right"/>
      <protection/>
    </xf>
    <xf numFmtId="166" fontId="8" fillId="0" borderId="0" xfId="0" applyNumberFormat="1" applyFont="1" applyFill="1" applyBorder="1" applyAlignment="1">
      <alignment horizontal="right"/>
    </xf>
    <xf numFmtId="166" fontId="8" fillId="0" borderId="0" xfId="0" applyNumberFormat="1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ecember0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"/>
  <sheetViews>
    <sheetView zoomScale="55" zoomScaleNormal="5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G55" sqref="AG55"/>
    </sheetView>
  </sheetViews>
  <sheetFormatPr defaultColWidth="8.88671875" defaultRowHeight="15"/>
  <cols>
    <col min="1" max="1" width="33.10546875" style="15" customWidth="1"/>
    <col min="2" max="33" width="9.77734375" style="15" customWidth="1"/>
    <col min="34" max="16384" width="8.88671875" style="15" customWidth="1"/>
  </cols>
  <sheetData>
    <row r="1" spans="1:34" ht="27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ht="27.75" customHeight="1">
      <c r="A2" s="1">
        <v>41275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27.75" customHeight="1">
      <c r="A3" s="3" t="s">
        <v>21</v>
      </c>
      <c r="Z3" s="4"/>
      <c r="AA3" s="3"/>
      <c r="AB3" s="4"/>
      <c r="AC3" s="4"/>
      <c r="AD3" s="4"/>
      <c r="AE3" s="4"/>
      <c r="AF3" s="4"/>
      <c r="AG3" s="4"/>
      <c r="AH3" s="2"/>
    </row>
    <row r="4" spans="1:34" ht="27.75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7"/>
    </row>
    <row r="5" spans="1:34" ht="27.75" customHeight="1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73"/>
      <c r="AH5" s="2"/>
    </row>
    <row r="6" spans="1:34" ht="27.75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22"/>
      <c r="AH6" s="20"/>
    </row>
    <row r="7" spans="1:34" ht="27.75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1"/>
    </row>
    <row r="8" spans="1:34" ht="27.75" customHeight="1">
      <c r="A8" s="8" t="s">
        <v>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7"/>
    </row>
    <row r="9" spans="1:33" ht="27.75" customHeight="1">
      <c r="A9" s="8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</row>
    <row r="10" spans="1:33" ht="27.75" customHeight="1">
      <c r="A10" s="8" t="s">
        <v>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4" ht="27.75" customHeight="1">
      <c r="A11" s="8"/>
      <c r="B11" s="26"/>
      <c r="C11" s="26"/>
      <c r="D11" s="26"/>
      <c r="E11" s="22"/>
      <c r="F11" s="22"/>
      <c r="G11" s="22"/>
      <c r="H11" s="22"/>
      <c r="I11" s="22"/>
      <c r="J11" s="26"/>
      <c r="K11" s="26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36" t="s">
        <v>29</v>
      </c>
      <c r="AH11" s="8"/>
    </row>
    <row r="12" spans="1:33" ht="27.75" customHeight="1">
      <c r="A12" s="8"/>
      <c r="B12" s="28">
        <f aca="true" t="shared" si="0" ref="B12:AF12">SUM(B8:B10)</f>
        <v>0</v>
      </c>
      <c r="C12" s="28">
        <f t="shared" si="0"/>
        <v>0</v>
      </c>
      <c r="D12" s="28">
        <f t="shared" si="0"/>
        <v>0</v>
      </c>
      <c r="E12" s="28">
        <f t="shared" si="0"/>
        <v>0</v>
      </c>
      <c r="F12" s="28">
        <f t="shared" si="0"/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28">
        <f t="shared" si="0"/>
        <v>0</v>
      </c>
      <c r="P12" s="28">
        <f t="shared" si="0"/>
        <v>0</v>
      </c>
      <c r="Q12" s="28">
        <f t="shared" si="0"/>
        <v>0</v>
      </c>
      <c r="R12" s="28">
        <f t="shared" si="0"/>
        <v>0</v>
      </c>
      <c r="S12" s="28">
        <f t="shared" si="0"/>
        <v>0</v>
      </c>
      <c r="T12" s="28">
        <f t="shared" si="0"/>
        <v>0</v>
      </c>
      <c r="U12" s="28">
        <f t="shared" si="0"/>
        <v>0</v>
      </c>
      <c r="V12" s="28">
        <f t="shared" si="0"/>
        <v>0</v>
      </c>
      <c r="W12" s="28">
        <f t="shared" si="0"/>
        <v>0</v>
      </c>
      <c r="X12" s="28">
        <f t="shared" si="0"/>
        <v>0</v>
      </c>
      <c r="Y12" s="28">
        <f t="shared" si="0"/>
        <v>0</v>
      </c>
      <c r="Z12" s="28">
        <f t="shared" si="0"/>
        <v>0</v>
      </c>
      <c r="AA12" s="28">
        <f t="shared" si="0"/>
        <v>0</v>
      </c>
      <c r="AB12" s="28">
        <f t="shared" si="0"/>
        <v>0</v>
      </c>
      <c r="AC12" s="28">
        <f t="shared" si="0"/>
        <v>0</v>
      </c>
      <c r="AD12" s="28">
        <f t="shared" si="0"/>
        <v>0</v>
      </c>
      <c r="AE12" s="28">
        <f t="shared" si="0"/>
        <v>0</v>
      </c>
      <c r="AF12" s="28">
        <f t="shared" si="0"/>
        <v>0</v>
      </c>
      <c r="AG12" s="34">
        <f>SUM(B12:AF12)/31</f>
        <v>0</v>
      </c>
    </row>
    <row r="13" spans="1:33" ht="27.75" customHeight="1">
      <c r="A13" s="9" t="s">
        <v>3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6"/>
    </row>
    <row r="14" spans="1:33" ht="27.75" customHeight="1">
      <c r="A14" s="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6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6"/>
    </row>
    <row r="15" spans="1:33" ht="27.75" customHeight="1">
      <c r="A15" s="8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26"/>
    </row>
    <row r="16" spans="1:33" ht="27.75" customHeight="1">
      <c r="A16" s="8"/>
      <c r="B16" s="82"/>
      <c r="C16" s="82"/>
      <c r="D16" s="82"/>
      <c r="E16" s="82"/>
      <c r="F16" s="82"/>
      <c r="G16" s="82"/>
      <c r="H16" s="82"/>
      <c r="I16" s="8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26"/>
    </row>
    <row r="17" spans="1:33" ht="27.75" customHeight="1">
      <c r="A17" s="7" t="s">
        <v>28</v>
      </c>
      <c r="B17" s="82"/>
      <c r="C17" s="82"/>
      <c r="D17" s="82"/>
      <c r="E17" s="82"/>
      <c r="F17" s="82"/>
      <c r="G17" s="82"/>
      <c r="H17" s="82"/>
      <c r="I17" s="8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26"/>
    </row>
    <row r="18" spans="1:33" ht="27.75" customHeight="1">
      <c r="A18" s="8"/>
      <c r="B18" s="82"/>
      <c r="C18" s="82"/>
      <c r="D18" s="82"/>
      <c r="E18" s="82"/>
      <c r="F18" s="82"/>
      <c r="G18" s="82"/>
      <c r="H18" s="82"/>
      <c r="I18" s="8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26"/>
    </row>
    <row r="19" spans="1:33" ht="27.75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26"/>
    </row>
    <row r="20" spans="1:33" ht="27.75" customHeight="1">
      <c r="A20" s="8"/>
      <c r="B20" s="82"/>
      <c r="C20" s="82"/>
      <c r="D20" s="82"/>
      <c r="E20" s="82"/>
      <c r="F20" s="82"/>
      <c r="G20" s="82"/>
      <c r="H20" s="82"/>
      <c r="I20" s="8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26"/>
    </row>
    <row r="21" spans="1:33" ht="27.75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26"/>
    </row>
    <row r="22" spans="1:33" ht="27.75" customHeight="1">
      <c r="A22" s="8"/>
      <c r="B22" s="82"/>
      <c r="C22" s="82"/>
      <c r="D22" s="82"/>
      <c r="E22" s="82"/>
      <c r="F22" s="82"/>
      <c r="G22" s="82"/>
      <c r="H22" s="82"/>
      <c r="I22" s="8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26"/>
    </row>
    <row r="23" spans="1:33" ht="27.75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26"/>
    </row>
    <row r="24" spans="1:34" ht="27.75" customHeight="1">
      <c r="A24" s="8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100"/>
      <c r="AF24" s="101"/>
      <c r="AG24" s="102" t="s">
        <v>29</v>
      </c>
      <c r="AH24" s="8"/>
    </row>
    <row r="25" spans="1:33" ht="27.75" customHeight="1">
      <c r="A25" s="8"/>
      <c r="B25" s="28">
        <f aca="true" t="shared" si="1" ref="B25:AD25">SUM(B15:B24)</f>
        <v>0</v>
      </c>
      <c r="C25" s="28">
        <f t="shared" si="1"/>
        <v>0</v>
      </c>
      <c r="D25" s="28">
        <f t="shared" si="1"/>
        <v>0</v>
      </c>
      <c r="E25" s="28">
        <f t="shared" si="1"/>
        <v>0</v>
      </c>
      <c r="F25" s="28">
        <f t="shared" si="1"/>
        <v>0</v>
      </c>
      <c r="G25" s="28">
        <f t="shared" si="1"/>
        <v>0</v>
      </c>
      <c r="H25" s="28">
        <f t="shared" si="1"/>
        <v>0</v>
      </c>
      <c r="I25" s="28">
        <f t="shared" si="1"/>
        <v>0</v>
      </c>
      <c r="J25" s="28">
        <f t="shared" si="1"/>
        <v>0</v>
      </c>
      <c r="K25" s="28">
        <f t="shared" si="1"/>
        <v>0</v>
      </c>
      <c r="L25" s="28">
        <f t="shared" si="1"/>
        <v>0</v>
      </c>
      <c r="M25" s="28">
        <f t="shared" si="1"/>
        <v>0</v>
      </c>
      <c r="N25" s="28">
        <f t="shared" si="1"/>
        <v>0</v>
      </c>
      <c r="O25" s="28">
        <f t="shared" si="1"/>
        <v>0</v>
      </c>
      <c r="P25" s="28">
        <f t="shared" si="1"/>
        <v>0</v>
      </c>
      <c r="Q25" s="28">
        <f t="shared" si="1"/>
        <v>0</v>
      </c>
      <c r="R25" s="28">
        <f t="shared" si="1"/>
        <v>0</v>
      </c>
      <c r="S25" s="28">
        <f t="shared" si="1"/>
        <v>0</v>
      </c>
      <c r="T25" s="28">
        <f t="shared" si="1"/>
        <v>0</v>
      </c>
      <c r="U25" s="28">
        <f t="shared" si="1"/>
        <v>0</v>
      </c>
      <c r="V25" s="28">
        <f t="shared" si="1"/>
        <v>0</v>
      </c>
      <c r="W25" s="28">
        <f t="shared" si="1"/>
        <v>0</v>
      </c>
      <c r="X25" s="28">
        <f t="shared" si="1"/>
        <v>0</v>
      </c>
      <c r="Y25" s="28">
        <f t="shared" si="1"/>
        <v>0</v>
      </c>
      <c r="Z25" s="28">
        <f t="shared" si="1"/>
        <v>0</v>
      </c>
      <c r="AA25" s="28">
        <f t="shared" si="1"/>
        <v>0</v>
      </c>
      <c r="AB25" s="28">
        <f t="shared" si="1"/>
        <v>0</v>
      </c>
      <c r="AC25" s="28">
        <f t="shared" si="1"/>
        <v>0</v>
      </c>
      <c r="AD25" s="28">
        <f t="shared" si="1"/>
        <v>0</v>
      </c>
      <c r="AE25" s="28">
        <f>SUM(AE15:AE24)</f>
        <v>0</v>
      </c>
      <c r="AF25" s="28">
        <f>SUM(AF15:AF24)</f>
        <v>0</v>
      </c>
      <c r="AG25" s="28">
        <f>SUM(B25:AF25)/31</f>
        <v>0</v>
      </c>
    </row>
    <row r="26" spans="1:33" ht="27.75" customHeight="1">
      <c r="A26" s="16" t="s">
        <v>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6"/>
    </row>
    <row r="27" spans="1:33" ht="27.75" customHeight="1">
      <c r="A27" s="8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6"/>
    </row>
    <row r="28" spans="1:33" ht="27.75" customHeight="1">
      <c r="A28" s="8" t="s">
        <v>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26"/>
    </row>
    <row r="29" spans="1:33" ht="27.75" customHeight="1">
      <c r="A29" s="8" t="s">
        <v>10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26"/>
    </row>
    <row r="30" spans="1:33" ht="27.75" customHeight="1">
      <c r="A30" s="8" t="s">
        <v>25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95"/>
    </row>
    <row r="31" spans="1:33" ht="27.75" customHeight="1">
      <c r="A31" s="8" t="s">
        <v>24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26"/>
    </row>
    <row r="32" spans="1:33" ht="27.75" customHeight="1">
      <c r="A32" s="8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26"/>
    </row>
    <row r="33" spans="1:33" ht="27.75" customHeight="1">
      <c r="A33" s="8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26"/>
    </row>
    <row r="34" spans="1:34" ht="27.75" customHeight="1">
      <c r="A34" s="8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26"/>
      <c r="AH34" s="8"/>
    </row>
    <row r="35" spans="1:33" ht="27.75" customHeight="1">
      <c r="A35" s="8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26"/>
    </row>
    <row r="36" spans="1:33" ht="27.75" customHeight="1">
      <c r="A36" s="8" t="s">
        <v>11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26"/>
    </row>
    <row r="37" spans="1:33" ht="27.75" customHeight="1">
      <c r="A37" s="8" t="s">
        <v>7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8"/>
      <c r="AG37" s="28"/>
    </row>
    <row r="38" spans="1:33" ht="27.75" customHeight="1">
      <c r="A38" s="8"/>
      <c r="B38" s="22"/>
      <c r="C38" s="22"/>
      <c r="D38" s="24"/>
      <c r="E38" s="22"/>
      <c r="F38" s="24"/>
      <c r="G38" s="24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36" t="s">
        <v>29</v>
      </c>
    </row>
    <row r="39" spans="1:34" ht="27.75" customHeight="1">
      <c r="A39" s="8"/>
      <c r="B39" s="28">
        <f aca="true" t="shared" si="2" ref="B39:AF39">SUM(B28+B34+B35+B36+B37)</f>
        <v>0</v>
      </c>
      <c r="C39" s="28">
        <f t="shared" si="2"/>
        <v>0</v>
      </c>
      <c r="D39" s="28">
        <f t="shared" si="2"/>
        <v>0</v>
      </c>
      <c r="E39" s="28">
        <f t="shared" si="2"/>
        <v>0</v>
      </c>
      <c r="F39" s="28">
        <f t="shared" si="2"/>
        <v>0</v>
      </c>
      <c r="G39" s="28">
        <f t="shared" si="2"/>
        <v>0</v>
      </c>
      <c r="H39" s="28">
        <f t="shared" si="2"/>
        <v>0</v>
      </c>
      <c r="I39" s="28">
        <f t="shared" si="2"/>
        <v>0</v>
      </c>
      <c r="J39" s="28">
        <f t="shared" si="2"/>
        <v>0</v>
      </c>
      <c r="K39" s="28">
        <f t="shared" si="2"/>
        <v>0</v>
      </c>
      <c r="L39" s="28">
        <f t="shared" si="2"/>
        <v>0</v>
      </c>
      <c r="M39" s="28">
        <f t="shared" si="2"/>
        <v>0</v>
      </c>
      <c r="N39" s="28">
        <f t="shared" si="2"/>
        <v>0</v>
      </c>
      <c r="O39" s="28">
        <f t="shared" si="2"/>
        <v>0</v>
      </c>
      <c r="P39" s="28">
        <f t="shared" si="2"/>
        <v>0</v>
      </c>
      <c r="Q39" s="28">
        <f t="shared" si="2"/>
        <v>0</v>
      </c>
      <c r="R39" s="28">
        <f t="shared" si="2"/>
        <v>0</v>
      </c>
      <c r="S39" s="28">
        <f t="shared" si="2"/>
        <v>0</v>
      </c>
      <c r="T39" s="28">
        <f t="shared" si="2"/>
        <v>0</v>
      </c>
      <c r="U39" s="28">
        <f t="shared" si="2"/>
        <v>0</v>
      </c>
      <c r="V39" s="28">
        <f t="shared" si="2"/>
        <v>0</v>
      </c>
      <c r="W39" s="28">
        <f t="shared" si="2"/>
        <v>0</v>
      </c>
      <c r="X39" s="28">
        <f t="shared" si="2"/>
        <v>0</v>
      </c>
      <c r="Y39" s="28">
        <f t="shared" si="2"/>
        <v>0</v>
      </c>
      <c r="Z39" s="28">
        <f t="shared" si="2"/>
        <v>0</v>
      </c>
      <c r="AA39" s="28">
        <f t="shared" si="2"/>
        <v>0</v>
      </c>
      <c r="AB39" s="28">
        <f t="shared" si="2"/>
        <v>0</v>
      </c>
      <c r="AC39" s="28">
        <f t="shared" si="2"/>
        <v>0</v>
      </c>
      <c r="AD39" s="28">
        <f t="shared" si="2"/>
        <v>0</v>
      </c>
      <c r="AE39" s="28">
        <f t="shared" si="2"/>
        <v>0</v>
      </c>
      <c r="AF39" s="28">
        <f t="shared" si="2"/>
        <v>0</v>
      </c>
      <c r="AG39" s="34">
        <f>SUM(B39:AF39)/31</f>
        <v>0</v>
      </c>
      <c r="AH39" s="108"/>
    </row>
    <row r="40" spans="1:33" ht="27.75" customHeight="1">
      <c r="A40" s="9" t="s">
        <v>12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6"/>
    </row>
    <row r="41" spans="1:33" ht="27.75" customHeight="1">
      <c r="A41" s="9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6"/>
    </row>
    <row r="42" spans="1:33" ht="27.75" customHeight="1">
      <c r="A42" s="8" t="s">
        <v>13</v>
      </c>
      <c r="B42" s="22"/>
      <c r="C42" s="22"/>
      <c r="D42" s="22"/>
      <c r="E42" s="22"/>
      <c r="F42" s="22"/>
      <c r="G42" s="22"/>
      <c r="H42" s="22"/>
      <c r="I42" s="25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6"/>
    </row>
    <row r="43" spans="1:33" ht="27.75" customHeight="1">
      <c r="A43" s="7" t="s">
        <v>30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6">
        <f>SUM(B43:AF43)</f>
        <v>0</v>
      </c>
    </row>
    <row r="44" spans="1:33" ht="27.75" customHeight="1">
      <c r="A44" s="8" t="s">
        <v>4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6"/>
    </row>
    <row r="45" spans="1:33" ht="27.75" customHeight="1">
      <c r="A45" s="8"/>
      <c r="B45" s="22"/>
      <c r="C45" s="22"/>
      <c r="D45" s="22"/>
      <c r="E45" s="22"/>
      <c r="F45" s="22"/>
      <c r="G45" s="22"/>
      <c r="H45" s="22"/>
      <c r="I45" s="25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6"/>
    </row>
    <row r="46" spans="1:33" ht="27.75" customHeight="1">
      <c r="A46" s="8" t="s">
        <v>14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6"/>
    </row>
    <row r="47" spans="1:33" ht="27.75" customHeight="1">
      <c r="A47" s="8"/>
      <c r="B47" s="22"/>
      <c r="C47" s="22"/>
      <c r="D47" s="22"/>
      <c r="E47" s="22"/>
      <c r="F47" s="22"/>
      <c r="G47" s="22"/>
      <c r="H47" s="22"/>
      <c r="I47" s="25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6"/>
    </row>
    <row r="48" spans="1:33" ht="27.75" customHeight="1">
      <c r="A48" s="8" t="s">
        <v>11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8"/>
      <c r="AG48" s="28"/>
    </row>
    <row r="49" spans="1:33" ht="27.75" customHeight="1">
      <c r="A49" s="8"/>
      <c r="B49" s="27"/>
      <c r="C49" s="27"/>
      <c r="D49" s="24"/>
      <c r="E49" s="22"/>
      <c r="F49" s="24"/>
      <c r="G49" s="24"/>
      <c r="H49" s="24"/>
      <c r="I49" s="22"/>
      <c r="J49" s="22"/>
      <c r="K49" s="24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36" t="s">
        <v>29</v>
      </c>
    </row>
    <row r="50" spans="1:34" ht="27.75" customHeight="1">
      <c r="A50" s="8"/>
      <c r="B50" s="28">
        <f aca="true" t="shared" si="3" ref="B50:AF50">SUM(B42:B48)</f>
        <v>0</v>
      </c>
      <c r="C50" s="28">
        <f t="shared" si="3"/>
        <v>0</v>
      </c>
      <c r="D50" s="28">
        <f t="shared" si="3"/>
        <v>0</v>
      </c>
      <c r="E50" s="28">
        <f t="shared" si="3"/>
        <v>0</v>
      </c>
      <c r="F50" s="28">
        <f t="shared" si="3"/>
        <v>0</v>
      </c>
      <c r="G50" s="28">
        <f t="shared" si="3"/>
        <v>0</v>
      </c>
      <c r="H50" s="28">
        <f t="shared" si="3"/>
        <v>0</v>
      </c>
      <c r="I50" s="28">
        <f t="shared" si="3"/>
        <v>0</v>
      </c>
      <c r="J50" s="28">
        <f t="shared" si="3"/>
        <v>0</v>
      </c>
      <c r="K50" s="28">
        <f t="shared" si="3"/>
        <v>0</v>
      </c>
      <c r="L50" s="28">
        <f t="shared" si="3"/>
        <v>0</v>
      </c>
      <c r="M50" s="28">
        <f t="shared" si="3"/>
        <v>0</v>
      </c>
      <c r="N50" s="28">
        <f t="shared" si="3"/>
        <v>0</v>
      </c>
      <c r="O50" s="28">
        <f t="shared" si="3"/>
        <v>0</v>
      </c>
      <c r="P50" s="28">
        <f t="shared" si="3"/>
        <v>0</v>
      </c>
      <c r="Q50" s="28">
        <f t="shared" si="3"/>
        <v>0</v>
      </c>
      <c r="R50" s="28">
        <f t="shared" si="3"/>
        <v>0</v>
      </c>
      <c r="S50" s="28">
        <f t="shared" si="3"/>
        <v>0</v>
      </c>
      <c r="T50" s="28">
        <f t="shared" si="3"/>
        <v>0</v>
      </c>
      <c r="U50" s="28">
        <f t="shared" si="3"/>
        <v>0</v>
      </c>
      <c r="V50" s="28">
        <f t="shared" si="3"/>
        <v>0</v>
      </c>
      <c r="W50" s="28">
        <f t="shared" si="3"/>
        <v>0</v>
      </c>
      <c r="X50" s="28">
        <f t="shared" si="3"/>
        <v>0</v>
      </c>
      <c r="Y50" s="28">
        <f t="shared" si="3"/>
        <v>0</v>
      </c>
      <c r="Z50" s="28">
        <f t="shared" si="3"/>
        <v>0</v>
      </c>
      <c r="AA50" s="28">
        <f t="shared" si="3"/>
        <v>0</v>
      </c>
      <c r="AB50" s="28">
        <f t="shared" si="3"/>
        <v>0</v>
      </c>
      <c r="AC50" s="28">
        <f t="shared" si="3"/>
        <v>0</v>
      </c>
      <c r="AD50" s="28">
        <f t="shared" si="3"/>
        <v>0</v>
      </c>
      <c r="AE50" s="28">
        <f t="shared" si="3"/>
        <v>0</v>
      </c>
      <c r="AF50" s="28">
        <f t="shared" si="3"/>
        <v>0</v>
      </c>
      <c r="AG50" s="34">
        <f>SUM(B50:AF50)/31</f>
        <v>0</v>
      </c>
      <c r="AH50" s="8"/>
    </row>
    <row r="51" spans="1:34" ht="27.75" customHeight="1">
      <c r="A51" s="9" t="s">
        <v>15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6"/>
      <c r="AH51" s="8"/>
    </row>
    <row r="52" spans="1:33" ht="27.75" customHeight="1">
      <c r="A52" s="8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36" t="s">
        <v>29</v>
      </c>
    </row>
    <row r="53" spans="1:33" ht="27.75" customHeight="1">
      <c r="A53" s="8" t="s">
        <v>4</v>
      </c>
      <c r="B53" s="150">
        <v>0.5</v>
      </c>
      <c r="C53" s="150">
        <v>0.4</v>
      </c>
      <c r="D53" s="150">
        <v>0.5</v>
      </c>
      <c r="E53" s="150">
        <v>0.4</v>
      </c>
      <c r="F53" s="150">
        <v>0.3</v>
      </c>
      <c r="G53" s="150">
        <v>0.4</v>
      </c>
      <c r="H53" s="150">
        <v>0.5</v>
      </c>
      <c r="I53" s="150">
        <v>0.5</v>
      </c>
      <c r="J53" s="150">
        <v>0.5</v>
      </c>
      <c r="K53" s="150">
        <v>0.5</v>
      </c>
      <c r="L53" s="150">
        <v>0.5</v>
      </c>
      <c r="M53" s="150">
        <v>0.3</v>
      </c>
      <c r="N53" s="150">
        <v>0.4</v>
      </c>
      <c r="O53" s="150">
        <v>0.5</v>
      </c>
      <c r="P53" s="150">
        <v>0.5</v>
      </c>
      <c r="Q53" s="150">
        <v>0.5</v>
      </c>
      <c r="R53" s="150">
        <v>0.5</v>
      </c>
      <c r="S53" s="150">
        <v>0.3</v>
      </c>
      <c r="T53" s="150">
        <v>0</v>
      </c>
      <c r="U53" s="150">
        <v>0.4</v>
      </c>
      <c r="V53" s="150">
        <v>0.7</v>
      </c>
      <c r="W53" s="150">
        <v>0.7</v>
      </c>
      <c r="X53" s="150">
        <v>0.5</v>
      </c>
      <c r="Y53" s="150">
        <v>0.5</v>
      </c>
      <c r="Z53" s="150">
        <v>0.5</v>
      </c>
      <c r="AA53" s="150">
        <v>0.3</v>
      </c>
      <c r="AB53" s="150">
        <v>0.3</v>
      </c>
      <c r="AC53" s="150">
        <v>0.5</v>
      </c>
      <c r="AD53" s="150">
        <v>0.5</v>
      </c>
      <c r="AE53" s="150">
        <v>0.6</v>
      </c>
      <c r="AF53" s="150">
        <v>0.5</v>
      </c>
      <c r="AG53" s="34">
        <f>SUM(B53:AF53)/31</f>
        <v>0.45161290322580644</v>
      </c>
    </row>
    <row r="54" spans="1:33" ht="27.75" customHeight="1">
      <c r="A54" s="8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6"/>
    </row>
    <row r="55" spans="1:33" ht="27.75" customHeight="1">
      <c r="A55" s="8" t="s">
        <v>16</v>
      </c>
      <c r="B55" s="26">
        <f>SUM(B12+B25+B39+B50+B53)</f>
        <v>0.5</v>
      </c>
      <c r="C55" s="26">
        <f aca="true" t="shared" si="4" ref="C55:AF55">SUM(C12+C25+C39+C50+C53)</f>
        <v>0.4</v>
      </c>
      <c r="D55" s="26">
        <f t="shared" si="4"/>
        <v>0.5</v>
      </c>
      <c r="E55" s="26">
        <f t="shared" si="4"/>
        <v>0.4</v>
      </c>
      <c r="F55" s="26">
        <f t="shared" si="4"/>
        <v>0.3</v>
      </c>
      <c r="G55" s="26">
        <f t="shared" si="4"/>
        <v>0.4</v>
      </c>
      <c r="H55" s="26">
        <f t="shared" si="4"/>
        <v>0.5</v>
      </c>
      <c r="I55" s="26">
        <f t="shared" si="4"/>
        <v>0.5</v>
      </c>
      <c r="J55" s="26">
        <f t="shared" si="4"/>
        <v>0.5</v>
      </c>
      <c r="K55" s="26">
        <f t="shared" si="4"/>
        <v>0.5</v>
      </c>
      <c r="L55" s="26">
        <f t="shared" si="4"/>
        <v>0.5</v>
      </c>
      <c r="M55" s="26">
        <f t="shared" si="4"/>
        <v>0.3</v>
      </c>
      <c r="N55" s="26">
        <f t="shared" si="4"/>
        <v>0.4</v>
      </c>
      <c r="O55" s="26">
        <f t="shared" si="4"/>
        <v>0.5</v>
      </c>
      <c r="P55" s="26">
        <f t="shared" si="4"/>
        <v>0.5</v>
      </c>
      <c r="Q55" s="26">
        <f t="shared" si="4"/>
        <v>0.5</v>
      </c>
      <c r="R55" s="26">
        <f t="shared" si="4"/>
        <v>0.5</v>
      </c>
      <c r="S55" s="26">
        <f t="shared" si="4"/>
        <v>0.3</v>
      </c>
      <c r="T55" s="26">
        <f t="shared" si="4"/>
        <v>0</v>
      </c>
      <c r="U55" s="26">
        <f t="shared" si="4"/>
        <v>0.4</v>
      </c>
      <c r="V55" s="26">
        <f t="shared" si="4"/>
        <v>0.7</v>
      </c>
      <c r="W55" s="26">
        <f t="shared" si="4"/>
        <v>0.7</v>
      </c>
      <c r="X55" s="26">
        <f t="shared" si="4"/>
        <v>0.5</v>
      </c>
      <c r="Y55" s="26">
        <f t="shared" si="4"/>
        <v>0.5</v>
      </c>
      <c r="Z55" s="26">
        <f t="shared" si="4"/>
        <v>0.5</v>
      </c>
      <c r="AA55" s="26">
        <f t="shared" si="4"/>
        <v>0.3</v>
      </c>
      <c r="AB55" s="26">
        <f t="shared" si="4"/>
        <v>0.3</v>
      </c>
      <c r="AC55" s="26">
        <f t="shared" si="4"/>
        <v>0.5</v>
      </c>
      <c r="AD55" s="26">
        <f t="shared" si="4"/>
        <v>0.5</v>
      </c>
      <c r="AE55" s="26">
        <f t="shared" si="4"/>
        <v>0.6</v>
      </c>
      <c r="AF55" s="26">
        <f t="shared" si="4"/>
        <v>0.5</v>
      </c>
      <c r="AG55" s="26"/>
    </row>
    <row r="56" spans="1:33" ht="27.75" customHeight="1">
      <c r="A56" s="8"/>
      <c r="B56" s="25"/>
      <c r="C56" s="16"/>
      <c r="D56" s="25"/>
      <c r="E56" s="22"/>
      <c r="F56" s="25"/>
      <c r="G56" s="25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6"/>
    </row>
    <row r="57" spans="1:33" ht="27.75" customHeight="1">
      <c r="A57" s="8" t="s">
        <v>17</v>
      </c>
      <c r="B57" s="96">
        <v>0</v>
      </c>
      <c r="C57" s="96">
        <v>0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96">
        <v>0</v>
      </c>
      <c r="L57" s="96">
        <v>0</v>
      </c>
      <c r="M57" s="96">
        <v>0</v>
      </c>
      <c r="N57" s="96">
        <v>0</v>
      </c>
      <c r="O57" s="96">
        <v>0</v>
      </c>
      <c r="P57" s="96">
        <v>0</v>
      </c>
      <c r="Q57" s="96">
        <v>0</v>
      </c>
      <c r="R57" s="96">
        <v>0</v>
      </c>
      <c r="S57" s="96">
        <v>0</v>
      </c>
      <c r="T57" s="96">
        <v>0</v>
      </c>
      <c r="U57" s="96">
        <v>0</v>
      </c>
      <c r="V57" s="96">
        <v>0</v>
      </c>
      <c r="W57" s="96">
        <v>0</v>
      </c>
      <c r="X57" s="96">
        <v>0</v>
      </c>
      <c r="Y57" s="96">
        <v>0</v>
      </c>
      <c r="Z57" s="96">
        <v>0</v>
      </c>
      <c r="AA57" s="96">
        <v>0</v>
      </c>
      <c r="AB57" s="96">
        <v>0</v>
      </c>
      <c r="AC57" s="96">
        <v>0</v>
      </c>
      <c r="AD57" s="96">
        <v>0</v>
      </c>
      <c r="AE57" s="96">
        <v>0</v>
      </c>
      <c r="AF57" s="96">
        <v>0</v>
      </c>
      <c r="AG57" s="26"/>
    </row>
    <row r="58" spans="1:33" ht="27.75" customHeight="1">
      <c r="A58" s="8"/>
      <c r="B58" s="25"/>
      <c r="C58" s="25"/>
      <c r="D58" s="29"/>
      <c r="E58" s="22"/>
      <c r="F58" s="25"/>
      <c r="G58" s="25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36" t="s">
        <v>29</v>
      </c>
    </row>
    <row r="59" spans="1:33" ht="27.75" customHeight="1" thickBot="1">
      <c r="A59" s="9" t="s">
        <v>22</v>
      </c>
      <c r="B59" s="94">
        <f aca="true" t="shared" si="5" ref="B59:AC59">SUM(B55:B57)</f>
        <v>0.5</v>
      </c>
      <c r="C59" s="94">
        <f t="shared" si="5"/>
        <v>0.4</v>
      </c>
      <c r="D59" s="94">
        <f t="shared" si="5"/>
        <v>0.5</v>
      </c>
      <c r="E59" s="94">
        <f t="shared" si="5"/>
        <v>0.4</v>
      </c>
      <c r="F59" s="94">
        <f t="shared" si="5"/>
        <v>0.3</v>
      </c>
      <c r="G59" s="94">
        <f t="shared" si="5"/>
        <v>0.4</v>
      </c>
      <c r="H59" s="94">
        <f t="shared" si="5"/>
        <v>0.5</v>
      </c>
      <c r="I59" s="94">
        <f t="shared" si="5"/>
        <v>0.5</v>
      </c>
      <c r="J59" s="94">
        <f t="shared" si="5"/>
        <v>0.5</v>
      </c>
      <c r="K59" s="94">
        <f t="shared" si="5"/>
        <v>0.5</v>
      </c>
      <c r="L59" s="94">
        <f t="shared" si="5"/>
        <v>0.5</v>
      </c>
      <c r="M59" s="94">
        <f t="shared" si="5"/>
        <v>0.3</v>
      </c>
      <c r="N59" s="94">
        <f t="shared" si="5"/>
        <v>0.4</v>
      </c>
      <c r="O59" s="94">
        <f t="shared" si="5"/>
        <v>0.5</v>
      </c>
      <c r="P59" s="94">
        <f t="shared" si="5"/>
        <v>0.5</v>
      </c>
      <c r="Q59" s="94">
        <f t="shared" si="5"/>
        <v>0.5</v>
      </c>
      <c r="R59" s="94">
        <f t="shared" si="5"/>
        <v>0.5</v>
      </c>
      <c r="S59" s="94">
        <f t="shared" si="5"/>
        <v>0.3</v>
      </c>
      <c r="T59" s="94">
        <f t="shared" si="5"/>
        <v>0</v>
      </c>
      <c r="U59" s="94">
        <f t="shared" si="5"/>
        <v>0.4</v>
      </c>
      <c r="V59" s="94">
        <f t="shared" si="5"/>
        <v>0.7</v>
      </c>
      <c r="W59" s="94">
        <f t="shared" si="5"/>
        <v>0.7</v>
      </c>
      <c r="X59" s="94">
        <f t="shared" si="5"/>
        <v>0.5</v>
      </c>
      <c r="Y59" s="94">
        <f t="shared" si="5"/>
        <v>0.5</v>
      </c>
      <c r="Z59" s="94">
        <f t="shared" si="5"/>
        <v>0.5</v>
      </c>
      <c r="AA59" s="94">
        <f t="shared" si="5"/>
        <v>0.3</v>
      </c>
      <c r="AB59" s="94">
        <f t="shared" si="5"/>
        <v>0.3</v>
      </c>
      <c r="AC59" s="94">
        <f t="shared" si="5"/>
        <v>0.5</v>
      </c>
      <c r="AD59" s="94">
        <f>SUM(AD55:AD57)</f>
        <v>0.5</v>
      </c>
      <c r="AE59" s="94">
        <f>SUM(AE55:AE57)</f>
        <v>0.6</v>
      </c>
      <c r="AF59" s="94">
        <f>SUM(AF55:AF57)</f>
        <v>0.5</v>
      </c>
      <c r="AG59" s="98">
        <f>SUM(B59:AF59)/31</f>
        <v>0.45161290322580644</v>
      </c>
    </row>
    <row r="60" spans="1:16" ht="27.75" customHeight="1">
      <c r="A60" s="9"/>
      <c r="B60" s="10"/>
      <c r="C60" s="7"/>
      <c r="D60" s="7"/>
      <c r="E60" s="7"/>
      <c r="F60" s="7"/>
      <c r="G60" s="7"/>
      <c r="H60" s="7"/>
      <c r="I60" s="10"/>
      <c r="J60" s="10"/>
      <c r="K60" s="10"/>
      <c r="L60" s="10"/>
      <c r="M60" s="10"/>
      <c r="N60" s="10"/>
      <c r="O60" s="10"/>
      <c r="P60" s="10"/>
    </row>
    <row r="61" spans="1:33" ht="27.75" customHeight="1">
      <c r="A61" s="8" t="s">
        <v>20</v>
      </c>
      <c r="B61" s="8"/>
      <c r="C61" s="8"/>
      <c r="D61" s="8"/>
      <c r="E61" s="8"/>
      <c r="F61" s="8"/>
      <c r="G61" s="8"/>
      <c r="H61" s="8"/>
      <c r="I61" s="13"/>
      <c r="J61" s="13"/>
      <c r="K61" s="13"/>
      <c r="L61" s="13"/>
      <c r="M61" s="13"/>
      <c r="N61" s="13"/>
      <c r="O61" s="13"/>
      <c r="P61" s="13"/>
      <c r="Q61" s="7"/>
      <c r="R61" s="7"/>
      <c r="S61" s="8"/>
      <c r="T61" s="8"/>
      <c r="U61" s="8"/>
      <c r="V61" s="8"/>
      <c r="W61" s="8"/>
      <c r="X61" s="8"/>
      <c r="Y61" s="8"/>
      <c r="Z61" s="13"/>
      <c r="AA61" s="13"/>
      <c r="AB61" s="13"/>
      <c r="AC61" s="13"/>
      <c r="AD61" s="13"/>
      <c r="AE61" s="13"/>
      <c r="AF61" s="13"/>
      <c r="AG61" s="13"/>
    </row>
    <row r="62" ht="20.25">
      <c r="AH62" s="8"/>
    </row>
    <row r="63" spans="1:33" ht="20.25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13"/>
      <c r="AF63" s="13"/>
      <c r="AG63" s="13"/>
    </row>
    <row r="64" spans="1:16" ht="20.25">
      <c r="A64" s="8"/>
      <c r="B64" s="8"/>
      <c r="C64" s="8"/>
      <c r="D64" s="8"/>
      <c r="E64" s="8"/>
      <c r="F64" s="8"/>
      <c r="G64" s="8"/>
      <c r="H64" s="8"/>
      <c r="I64" s="13"/>
      <c r="J64" s="13"/>
      <c r="K64" s="13"/>
      <c r="L64" s="13"/>
      <c r="M64" s="13"/>
      <c r="N64" s="13"/>
      <c r="O64" s="13"/>
      <c r="P64" s="13"/>
    </row>
  </sheetData>
  <sheetProtection/>
  <printOptions/>
  <pageMargins left="0.56" right="0.54" top="0.5" bottom="0.5" header="0.5" footer="0.5"/>
  <pageSetup horizontalDpi="300" verticalDpi="300" orientation="landscape" scale="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44"/>
  <sheetViews>
    <sheetView tabSelected="1"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1" sqref="B41:AF41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2" width="8.88671875" style="15" customWidth="1"/>
    <col min="33" max="33" width="10.3359375" style="37" bestFit="1" customWidth="1"/>
    <col min="34" max="16384" width="8.88671875" style="15" customWidth="1"/>
  </cols>
  <sheetData>
    <row r="1" spans="1:33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3"/>
    </row>
    <row r="2" spans="1:33" ht="23.25">
      <c r="A2" s="1">
        <v>41548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3"/>
    </row>
    <row r="3" spans="1:33" ht="23.25">
      <c r="A3" s="3" t="s">
        <v>21</v>
      </c>
      <c r="Z3" s="4"/>
      <c r="AA3" s="3"/>
      <c r="AB3" s="4"/>
      <c r="AC3" s="4"/>
      <c r="AD3" s="4"/>
      <c r="AE3" s="4"/>
      <c r="AF3" s="4"/>
      <c r="AG3" s="38"/>
    </row>
    <row r="4" spans="1:36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31" t="s">
        <v>33</v>
      </c>
    </row>
    <row r="6" spans="1:33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8" t="s">
        <v>1</v>
      </c>
      <c r="B7" s="45">
        <v>3.6</v>
      </c>
      <c r="C7" s="45">
        <v>5.2</v>
      </c>
      <c r="D7" s="45">
        <v>4.9</v>
      </c>
      <c r="E7" s="45">
        <v>4.7</v>
      </c>
      <c r="F7" s="45">
        <v>4.4</v>
      </c>
      <c r="G7" s="45">
        <v>5</v>
      </c>
      <c r="H7" s="45">
        <v>5.1</v>
      </c>
      <c r="I7" s="45">
        <v>4.7</v>
      </c>
      <c r="J7" s="45">
        <v>4.8</v>
      </c>
      <c r="K7" s="45">
        <v>3</v>
      </c>
      <c r="L7" s="45">
        <v>1.3</v>
      </c>
      <c r="M7" s="45">
        <v>0.2</v>
      </c>
      <c r="N7" s="45">
        <v>0.8</v>
      </c>
      <c r="O7" s="45">
        <v>3.7</v>
      </c>
      <c r="P7" s="45">
        <v>2.9</v>
      </c>
      <c r="Q7" s="45">
        <v>3.6</v>
      </c>
      <c r="R7" s="45">
        <v>3.9</v>
      </c>
      <c r="S7" s="45">
        <v>3.9</v>
      </c>
      <c r="T7" s="45">
        <v>3.8</v>
      </c>
      <c r="U7" s="45">
        <v>3</v>
      </c>
      <c r="V7" s="45">
        <v>1.7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45"/>
    </row>
    <row r="8" spans="1:33" ht="23.25">
      <c r="A8" s="8" t="s">
        <v>2</v>
      </c>
      <c r="B8" s="45">
        <v>15.5</v>
      </c>
      <c r="C8" s="45">
        <v>13.4</v>
      </c>
      <c r="D8" s="45">
        <v>11.4</v>
      </c>
      <c r="E8" s="45">
        <v>10</v>
      </c>
      <c r="F8" s="45">
        <v>10.8</v>
      </c>
      <c r="G8" s="45">
        <v>11.2</v>
      </c>
      <c r="H8" s="45">
        <v>10.8</v>
      </c>
      <c r="I8" s="45">
        <v>10.4</v>
      </c>
      <c r="J8" s="45">
        <v>10</v>
      </c>
      <c r="K8" s="45">
        <v>10</v>
      </c>
      <c r="L8" s="45">
        <v>11.5</v>
      </c>
      <c r="M8" s="45">
        <v>12.2</v>
      </c>
      <c r="N8" s="45">
        <v>18.2</v>
      </c>
      <c r="O8" s="45">
        <v>12.5</v>
      </c>
      <c r="P8" s="45">
        <v>14.6</v>
      </c>
      <c r="Q8" s="45">
        <v>11.2</v>
      </c>
      <c r="R8" s="45">
        <v>11.1</v>
      </c>
      <c r="S8" s="45">
        <v>10.4</v>
      </c>
      <c r="T8" s="45">
        <v>11.2</v>
      </c>
      <c r="U8" s="45">
        <v>15.1</v>
      </c>
      <c r="V8" s="45">
        <v>13.7</v>
      </c>
      <c r="W8" s="45">
        <v>15.6</v>
      </c>
      <c r="X8" s="45">
        <v>15.2</v>
      </c>
      <c r="Y8" s="45">
        <v>14.6</v>
      </c>
      <c r="Z8" s="45">
        <v>14.1</v>
      </c>
      <c r="AA8" s="45">
        <v>13.4</v>
      </c>
      <c r="AB8" s="45">
        <v>15.2</v>
      </c>
      <c r="AC8" s="45">
        <v>13.8</v>
      </c>
      <c r="AD8" s="45">
        <v>15.6</v>
      </c>
      <c r="AE8" s="45">
        <v>13.9</v>
      </c>
      <c r="AF8" s="45">
        <v>13.7</v>
      </c>
      <c r="AG8" s="45"/>
    </row>
    <row r="9" spans="1:33" ht="23.25">
      <c r="A9" s="8"/>
      <c r="B9" s="77">
        <f aca="true" t="shared" si="0" ref="B9:AF9">SUM(B7:B8)</f>
        <v>19.1</v>
      </c>
      <c r="C9" s="77">
        <f t="shared" si="0"/>
        <v>18.6</v>
      </c>
      <c r="D9" s="77">
        <f t="shared" si="0"/>
        <v>16.3</v>
      </c>
      <c r="E9" s="77">
        <f t="shared" si="0"/>
        <v>14.7</v>
      </c>
      <c r="F9" s="77">
        <f t="shared" si="0"/>
        <v>15.200000000000001</v>
      </c>
      <c r="G9" s="77">
        <f t="shared" si="0"/>
        <v>16.2</v>
      </c>
      <c r="H9" s="77">
        <f t="shared" si="0"/>
        <v>15.9</v>
      </c>
      <c r="I9" s="77">
        <f t="shared" si="0"/>
        <v>15.100000000000001</v>
      </c>
      <c r="J9" s="77">
        <f t="shared" si="0"/>
        <v>14.8</v>
      </c>
      <c r="K9" s="77">
        <f t="shared" si="0"/>
        <v>13</v>
      </c>
      <c r="L9" s="77">
        <f t="shared" si="0"/>
        <v>12.8</v>
      </c>
      <c r="M9" s="77">
        <f t="shared" si="0"/>
        <v>12.399999999999999</v>
      </c>
      <c r="N9" s="77">
        <f t="shared" si="0"/>
        <v>19</v>
      </c>
      <c r="O9" s="77">
        <f t="shared" si="0"/>
        <v>16.2</v>
      </c>
      <c r="P9" s="77">
        <f t="shared" si="0"/>
        <v>17.5</v>
      </c>
      <c r="Q9" s="77">
        <f t="shared" si="0"/>
        <v>14.799999999999999</v>
      </c>
      <c r="R9" s="77">
        <f t="shared" si="0"/>
        <v>15</v>
      </c>
      <c r="S9" s="77">
        <f t="shared" si="0"/>
        <v>14.3</v>
      </c>
      <c r="T9" s="77">
        <f t="shared" si="0"/>
        <v>15</v>
      </c>
      <c r="U9" s="77">
        <f t="shared" si="0"/>
        <v>18.1</v>
      </c>
      <c r="V9" s="77">
        <f t="shared" si="0"/>
        <v>15.399999999999999</v>
      </c>
      <c r="W9" s="77">
        <f t="shared" si="0"/>
        <v>15.6</v>
      </c>
      <c r="X9" s="77">
        <f t="shared" si="0"/>
        <v>15.2</v>
      </c>
      <c r="Y9" s="77">
        <f t="shared" si="0"/>
        <v>14.6</v>
      </c>
      <c r="Z9" s="77">
        <f t="shared" si="0"/>
        <v>14.1</v>
      </c>
      <c r="AA9" s="77">
        <f t="shared" si="0"/>
        <v>13.4</v>
      </c>
      <c r="AB9" s="77">
        <f t="shared" si="0"/>
        <v>15.2</v>
      </c>
      <c r="AC9" s="77">
        <f t="shared" si="0"/>
        <v>13.8</v>
      </c>
      <c r="AD9" s="77">
        <f t="shared" si="0"/>
        <v>15.6</v>
      </c>
      <c r="AE9" s="77">
        <f t="shared" si="0"/>
        <v>13.9</v>
      </c>
      <c r="AF9" s="77">
        <f t="shared" si="0"/>
        <v>13.7</v>
      </c>
      <c r="AG9" s="40">
        <f>AVERAGE(C9:AF9)</f>
        <v>15.180000000000001</v>
      </c>
    </row>
    <row r="10" spans="1:33" ht="23.25">
      <c r="A10" s="9" t="s">
        <v>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45"/>
    </row>
    <row r="11" spans="1:33" ht="23.25">
      <c r="A11" s="8" t="s">
        <v>19</v>
      </c>
      <c r="B11" s="125">
        <f>16.757</f>
        <v>16.757</v>
      </c>
      <c r="C11" s="126">
        <v>16.208</v>
      </c>
      <c r="D11" s="126">
        <v>15.534</v>
      </c>
      <c r="E11" s="126">
        <v>15.145</v>
      </c>
      <c r="F11" s="126">
        <v>16.046</v>
      </c>
      <c r="G11" s="126">
        <v>15.693</v>
      </c>
      <c r="H11" s="112">
        <f>15.774-1.024</f>
        <v>14.75</v>
      </c>
      <c r="I11" s="112">
        <f>13.544-0.911</f>
        <v>12.633000000000001</v>
      </c>
      <c r="J11" s="122">
        <f>14.272-0.457</f>
        <v>13.815</v>
      </c>
      <c r="K11" s="112">
        <f>13.654-0.923</f>
        <v>12.731</v>
      </c>
      <c r="L11" s="112">
        <f>13.366-0.674</f>
        <v>12.692</v>
      </c>
      <c r="M11" s="112">
        <f>14.746-0.775</f>
        <v>13.971</v>
      </c>
      <c r="N11" s="112">
        <f>14.746-0.775</f>
        <v>13.971</v>
      </c>
      <c r="O11" s="112">
        <f>13.767-0.517</f>
        <v>13.25</v>
      </c>
      <c r="P11" s="112">
        <f>13.519-0.144</f>
        <v>13.375</v>
      </c>
      <c r="Q11" s="112">
        <f>14.615-0.778</f>
        <v>13.837</v>
      </c>
      <c r="R11" s="112">
        <f>14.373-0.72</f>
        <v>13.652999999999999</v>
      </c>
      <c r="S11" s="112">
        <f>13.848</f>
        <v>13.848</v>
      </c>
      <c r="T11" s="112">
        <v>13.139</v>
      </c>
      <c r="U11" s="112">
        <v>13.088</v>
      </c>
      <c r="V11" s="112">
        <f>14.068-0.938</f>
        <v>13.129999999999999</v>
      </c>
      <c r="W11" s="112">
        <f>13.574-0.941</f>
        <v>12.633</v>
      </c>
      <c r="X11" s="112">
        <f>13.997-0.833</f>
        <v>13.164</v>
      </c>
      <c r="Y11" s="122">
        <f>14.337-1.047</f>
        <v>13.29</v>
      </c>
      <c r="Z11" s="112">
        <f>14.358-0.696</f>
        <v>13.662</v>
      </c>
      <c r="AA11" s="112">
        <f>13.367-0.811</f>
        <v>12.556000000000001</v>
      </c>
      <c r="AB11" s="122">
        <f>13.827-0.757</f>
        <v>13.07</v>
      </c>
      <c r="AC11" s="112">
        <f>14.272-0.877</f>
        <v>13.395</v>
      </c>
      <c r="AD11" s="112">
        <f>13.581-0.896</f>
        <v>12.684999999999999</v>
      </c>
      <c r="AE11" s="112">
        <f>14.083-1.029</f>
        <v>13.054</v>
      </c>
      <c r="AF11" s="112">
        <f>13.247-0.924</f>
        <v>12.323</v>
      </c>
      <c r="AG11" s="45"/>
    </row>
    <row r="12" spans="1:33" ht="23.25">
      <c r="A12" s="7" t="s">
        <v>28</v>
      </c>
      <c r="B12" s="122">
        <v>-1.043</v>
      </c>
      <c r="C12" s="82">
        <v>-1.003</v>
      </c>
      <c r="D12" s="82">
        <v>0.361</v>
      </c>
      <c r="E12" s="82">
        <v>0</v>
      </c>
      <c r="F12" s="82">
        <v>0</v>
      </c>
      <c r="G12" s="82">
        <v>0</v>
      </c>
      <c r="H12" s="122">
        <v>1.024</v>
      </c>
      <c r="I12" s="122">
        <v>0.911</v>
      </c>
      <c r="J12" s="122">
        <v>0.457</v>
      </c>
      <c r="K12" s="122">
        <v>0.923</v>
      </c>
      <c r="L12" s="122">
        <v>0.674</v>
      </c>
      <c r="M12" s="122">
        <v>0.775</v>
      </c>
      <c r="N12" s="122">
        <v>0.744</v>
      </c>
      <c r="O12" s="122">
        <v>0.517</v>
      </c>
      <c r="P12" s="122">
        <v>0.144</v>
      </c>
      <c r="Q12" s="122">
        <v>0.778</v>
      </c>
      <c r="R12" s="122">
        <v>0.72</v>
      </c>
      <c r="S12" s="122">
        <v>0</v>
      </c>
      <c r="T12" s="122">
        <v>0</v>
      </c>
      <c r="U12" s="122">
        <v>0</v>
      </c>
      <c r="V12" s="122">
        <v>0.938</v>
      </c>
      <c r="W12" s="122">
        <v>0.94</v>
      </c>
      <c r="X12" s="122">
        <v>0.833</v>
      </c>
      <c r="Y12" s="122">
        <v>1.047</v>
      </c>
      <c r="Z12" s="122">
        <v>0.696</v>
      </c>
      <c r="AA12" s="122">
        <v>0.811</v>
      </c>
      <c r="AB12" s="122">
        <v>0.757</v>
      </c>
      <c r="AC12" s="122">
        <v>0.877</v>
      </c>
      <c r="AD12" s="122">
        <v>0.896</v>
      </c>
      <c r="AE12" s="122">
        <v>1.029</v>
      </c>
      <c r="AF12" s="122">
        <v>0.924</v>
      </c>
      <c r="AG12" s="45"/>
    </row>
    <row r="13" spans="1:33" ht="23.25">
      <c r="A13" s="8" t="s">
        <v>5</v>
      </c>
      <c r="B13" s="122">
        <v>2.845</v>
      </c>
      <c r="C13" s="82">
        <v>2.886</v>
      </c>
      <c r="D13" s="82">
        <v>2.866</v>
      </c>
      <c r="E13" s="82">
        <v>2.842</v>
      </c>
      <c r="F13" s="82">
        <v>2.871</v>
      </c>
      <c r="G13" s="82">
        <v>2.889</v>
      </c>
      <c r="H13" s="122">
        <v>2.886</v>
      </c>
      <c r="I13" s="122">
        <v>2.849</v>
      </c>
      <c r="J13" s="122">
        <v>2.891</v>
      </c>
      <c r="K13" s="112">
        <v>2.743</v>
      </c>
      <c r="L13" s="122">
        <v>2.81</v>
      </c>
      <c r="M13" s="122">
        <v>2.75</v>
      </c>
      <c r="N13" s="122">
        <v>2.75</v>
      </c>
      <c r="O13" s="122">
        <v>2.864</v>
      </c>
      <c r="P13" s="122">
        <v>2.832</v>
      </c>
      <c r="Q13" s="122">
        <v>1.57</v>
      </c>
      <c r="R13" s="122">
        <v>2.893</v>
      </c>
      <c r="S13" s="112">
        <v>2.788</v>
      </c>
      <c r="T13" s="122">
        <v>2.871</v>
      </c>
      <c r="U13" s="122">
        <v>2.824</v>
      </c>
      <c r="V13" s="122">
        <v>2.698</v>
      </c>
      <c r="W13" s="122">
        <v>2.889</v>
      </c>
      <c r="X13" s="122">
        <v>2.903</v>
      </c>
      <c r="Y13" s="122">
        <v>2.807</v>
      </c>
      <c r="Z13" s="122">
        <v>2.774</v>
      </c>
      <c r="AA13" s="122">
        <v>1.094</v>
      </c>
      <c r="AB13" s="122">
        <v>4.564</v>
      </c>
      <c r="AC13" s="122">
        <v>2.88</v>
      </c>
      <c r="AD13" s="122">
        <v>3.069</v>
      </c>
      <c r="AE13" s="122">
        <v>3.101</v>
      </c>
      <c r="AF13" s="122">
        <v>3.352</v>
      </c>
      <c r="AG13" s="45"/>
    </row>
    <row r="14" spans="1:33" ht="23.25">
      <c r="A14" s="8" t="s">
        <v>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45"/>
    </row>
    <row r="15" spans="1:33" ht="23.25">
      <c r="A15" s="8" t="s">
        <v>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45"/>
    </row>
    <row r="16" spans="1:33" ht="23.25">
      <c r="A16" s="8"/>
      <c r="B16" s="77">
        <f aca="true" t="shared" si="1" ref="B16:AF16">SUM(B11:B15)</f>
        <v>18.559</v>
      </c>
      <c r="C16" s="77">
        <f t="shared" si="1"/>
        <v>18.090999999999998</v>
      </c>
      <c r="D16" s="77">
        <f t="shared" si="1"/>
        <v>18.761000000000003</v>
      </c>
      <c r="E16" s="77">
        <f t="shared" si="1"/>
        <v>17.987</v>
      </c>
      <c r="F16" s="77">
        <f t="shared" si="1"/>
        <v>18.916999999999998</v>
      </c>
      <c r="G16" s="77">
        <f t="shared" si="1"/>
        <v>18.582</v>
      </c>
      <c r="H16" s="77">
        <f t="shared" si="1"/>
        <v>18.66</v>
      </c>
      <c r="I16" s="77">
        <f t="shared" si="1"/>
        <v>16.393</v>
      </c>
      <c r="J16" s="77">
        <f t="shared" si="1"/>
        <v>17.163</v>
      </c>
      <c r="K16" s="77">
        <f t="shared" si="1"/>
        <v>16.397</v>
      </c>
      <c r="L16" s="77">
        <f t="shared" si="1"/>
        <v>16.176</v>
      </c>
      <c r="M16" s="77">
        <f t="shared" si="1"/>
        <v>17.496000000000002</v>
      </c>
      <c r="N16" s="77">
        <f t="shared" si="1"/>
        <v>17.465</v>
      </c>
      <c r="O16" s="77">
        <f t="shared" si="1"/>
        <v>16.631</v>
      </c>
      <c r="P16" s="77">
        <f t="shared" si="1"/>
        <v>16.351</v>
      </c>
      <c r="Q16" s="77">
        <f t="shared" si="1"/>
        <v>16.185</v>
      </c>
      <c r="R16" s="77">
        <f t="shared" si="1"/>
        <v>17.266</v>
      </c>
      <c r="S16" s="77">
        <f t="shared" si="1"/>
        <v>16.636</v>
      </c>
      <c r="T16" s="77">
        <f t="shared" si="1"/>
        <v>16.009999999999998</v>
      </c>
      <c r="U16" s="77">
        <f t="shared" si="1"/>
        <v>15.911999999999999</v>
      </c>
      <c r="V16" s="77">
        <f t="shared" si="1"/>
        <v>16.766</v>
      </c>
      <c r="W16" s="77">
        <f t="shared" si="1"/>
        <v>16.462</v>
      </c>
      <c r="X16" s="77">
        <f t="shared" si="1"/>
        <v>16.9</v>
      </c>
      <c r="Y16" s="77">
        <f t="shared" si="1"/>
        <v>17.144</v>
      </c>
      <c r="Z16" s="77">
        <f t="shared" si="1"/>
        <v>17.132</v>
      </c>
      <c r="AA16" s="77">
        <f t="shared" si="1"/>
        <v>14.461</v>
      </c>
      <c r="AB16" s="77">
        <f t="shared" si="1"/>
        <v>18.391</v>
      </c>
      <c r="AC16" s="77">
        <f t="shared" si="1"/>
        <v>17.152</v>
      </c>
      <c r="AD16" s="77">
        <f t="shared" si="1"/>
        <v>16.65</v>
      </c>
      <c r="AE16" s="77">
        <f t="shared" si="1"/>
        <v>17.184</v>
      </c>
      <c r="AF16" s="77">
        <f t="shared" si="1"/>
        <v>16.599</v>
      </c>
      <c r="AG16" s="40">
        <f>AVERAGE(C16:AF16)</f>
        <v>17.064</v>
      </c>
    </row>
    <row r="17" spans="1:33" ht="23.25">
      <c r="A17" s="16" t="s">
        <v>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45"/>
    </row>
    <row r="18" spans="1:33" ht="23.25">
      <c r="A18" s="14" t="s">
        <v>9</v>
      </c>
      <c r="B18" s="113">
        <v>16.06</v>
      </c>
      <c r="C18" s="113">
        <v>16.8</v>
      </c>
      <c r="D18" s="113">
        <v>17.58</v>
      </c>
      <c r="E18" s="113">
        <v>15.08</v>
      </c>
      <c r="F18" s="113">
        <v>17.13</v>
      </c>
      <c r="G18" s="113">
        <v>18.98</v>
      </c>
      <c r="H18" s="113">
        <v>14.63</v>
      </c>
      <c r="I18" s="113">
        <v>14.34</v>
      </c>
      <c r="J18" s="113">
        <v>14.75</v>
      </c>
      <c r="K18" s="113">
        <v>13.65</v>
      </c>
      <c r="L18" s="113">
        <v>11.9</v>
      </c>
      <c r="M18" s="113">
        <v>10.46</v>
      </c>
      <c r="N18" s="113">
        <v>10.89</v>
      </c>
      <c r="O18" s="113">
        <v>15.77</v>
      </c>
      <c r="P18" s="113">
        <v>15.44</v>
      </c>
      <c r="Q18" s="113">
        <v>17.88</v>
      </c>
      <c r="R18" s="113">
        <v>16.68</v>
      </c>
      <c r="S18" s="113">
        <v>15.79</v>
      </c>
      <c r="T18" s="113">
        <v>16.37</v>
      </c>
      <c r="U18" s="113">
        <v>16.71</v>
      </c>
      <c r="V18" s="113">
        <v>17.31</v>
      </c>
      <c r="W18" s="113">
        <v>15.48</v>
      </c>
      <c r="X18" s="113">
        <v>15.21</v>
      </c>
      <c r="Y18" s="113">
        <v>14.45</v>
      </c>
      <c r="Z18" s="113">
        <v>14.37</v>
      </c>
      <c r="AA18" s="113">
        <v>13.63</v>
      </c>
      <c r="AB18" s="113">
        <v>15.05</v>
      </c>
      <c r="AC18" s="113">
        <v>15.26</v>
      </c>
      <c r="AD18" s="113">
        <v>14.16</v>
      </c>
      <c r="AE18" s="113">
        <v>14.03</v>
      </c>
      <c r="AF18" s="113">
        <v>13.88</v>
      </c>
      <c r="AG18" s="45"/>
    </row>
    <row r="19" spans="1:33" ht="23.25">
      <c r="A19" s="18" t="s">
        <v>28</v>
      </c>
      <c r="B19" s="112">
        <v>-0.36</v>
      </c>
      <c r="C19" s="112">
        <v>-0.36</v>
      </c>
      <c r="D19" s="112">
        <v>-0.36</v>
      </c>
      <c r="E19" s="112">
        <v>-0.36</v>
      </c>
      <c r="F19" s="112">
        <v>-0.36</v>
      </c>
      <c r="G19" s="112">
        <v>-0.36</v>
      </c>
      <c r="H19" s="112">
        <v>-0.36</v>
      </c>
      <c r="I19" s="112">
        <v>-0.36</v>
      </c>
      <c r="J19" s="112">
        <v>-0.36</v>
      </c>
      <c r="K19" s="112">
        <v>-0.36</v>
      </c>
      <c r="L19" s="112">
        <v>-0.36</v>
      </c>
      <c r="M19" s="112">
        <v>-0.23</v>
      </c>
      <c r="N19" s="112">
        <v>0</v>
      </c>
      <c r="O19" s="112">
        <v>-0.02</v>
      </c>
      <c r="P19" s="112">
        <v>-0.36</v>
      </c>
      <c r="Q19" s="112">
        <v>-0.36</v>
      </c>
      <c r="R19" s="112">
        <v>-0.36</v>
      </c>
      <c r="S19" s="112">
        <v>-0.36</v>
      </c>
      <c r="T19" s="112">
        <v>-0.36</v>
      </c>
      <c r="U19" s="112">
        <v>-0.36</v>
      </c>
      <c r="V19" s="112">
        <v>-0.36</v>
      </c>
      <c r="W19" s="112">
        <v>-0.36</v>
      </c>
      <c r="X19" s="112">
        <v>-0.36</v>
      </c>
      <c r="Y19" s="112">
        <v>-0.36</v>
      </c>
      <c r="Z19" s="112">
        <v>-0.36</v>
      </c>
      <c r="AA19" s="112">
        <v>-0.36</v>
      </c>
      <c r="AB19" s="112">
        <v>-0.36</v>
      </c>
      <c r="AC19" s="113">
        <v>-0.36</v>
      </c>
      <c r="AD19" s="113">
        <v>0</v>
      </c>
      <c r="AE19" s="113">
        <v>0</v>
      </c>
      <c r="AF19" s="113">
        <v>0</v>
      </c>
      <c r="AG19" s="45"/>
    </row>
    <row r="20" spans="1:33" ht="23.25">
      <c r="A20" s="14" t="s">
        <v>10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45"/>
    </row>
    <row r="21" spans="1:33" ht="23.25">
      <c r="A21" s="14" t="s">
        <v>25</v>
      </c>
      <c r="B21" s="131">
        <v>50</v>
      </c>
      <c r="C21" s="131">
        <v>50</v>
      </c>
      <c r="D21" s="131">
        <v>35</v>
      </c>
      <c r="E21" s="131">
        <v>50</v>
      </c>
      <c r="F21" s="131">
        <v>50</v>
      </c>
      <c r="G21" s="131">
        <v>52</v>
      </c>
      <c r="H21" s="131">
        <v>40</v>
      </c>
      <c r="I21" s="131">
        <v>42</v>
      </c>
      <c r="J21" s="131">
        <v>85</v>
      </c>
      <c r="K21" s="131">
        <v>35</v>
      </c>
      <c r="L21" s="131">
        <v>30</v>
      </c>
      <c r="M21" s="131">
        <v>29</v>
      </c>
      <c r="N21" s="131">
        <v>30</v>
      </c>
      <c r="O21" s="131">
        <v>33</v>
      </c>
      <c r="P21" s="131">
        <v>80</v>
      </c>
      <c r="Q21" s="131">
        <v>45</v>
      </c>
      <c r="R21" s="131">
        <v>45</v>
      </c>
      <c r="S21" s="131">
        <v>50</v>
      </c>
      <c r="T21" s="131">
        <v>40</v>
      </c>
      <c r="U21" s="131">
        <v>50</v>
      </c>
      <c r="V21" s="131">
        <v>45</v>
      </c>
      <c r="W21" s="131">
        <v>50</v>
      </c>
      <c r="X21" s="131">
        <v>60</v>
      </c>
      <c r="Y21" s="131">
        <v>40</v>
      </c>
      <c r="Z21" s="131">
        <v>52</v>
      </c>
      <c r="AA21" s="131">
        <v>46</v>
      </c>
      <c r="AB21" s="131">
        <v>46</v>
      </c>
      <c r="AC21" s="131">
        <v>52</v>
      </c>
      <c r="AD21" s="131">
        <v>45</v>
      </c>
      <c r="AE21" s="131">
        <v>47</v>
      </c>
      <c r="AF21" s="131">
        <v>53</v>
      </c>
      <c r="AG21" s="149"/>
    </row>
    <row r="22" spans="1:33" ht="23.25">
      <c r="A22" s="14" t="s">
        <v>24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45"/>
    </row>
    <row r="23" spans="1:33" ht="23.25">
      <c r="A23" s="14" t="s">
        <v>26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45"/>
    </row>
    <row r="24" spans="1:33" ht="23.25">
      <c r="A24" s="14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45"/>
    </row>
    <row r="25" spans="1:33" ht="23.25">
      <c r="A25" s="14" t="s">
        <v>18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45"/>
    </row>
    <row r="26" spans="1:33" ht="23.25">
      <c r="A26" s="14" t="s">
        <v>5</v>
      </c>
      <c r="B26" s="113">
        <v>0.4</v>
      </c>
      <c r="C26" s="113">
        <v>0.4</v>
      </c>
      <c r="D26" s="113">
        <v>0.4</v>
      </c>
      <c r="E26" s="113">
        <v>0.4</v>
      </c>
      <c r="F26" s="113">
        <v>0.4</v>
      </c>
      <c r="G26" s="113">
        <v>0.4</v>
      </c>
      <c r="H26" s="113">
        <v>0.1</v>
      </c>
      <c r="I26" s="113">
        <v>0.1</v>
      </c>
      <c r="J26" s="113">
        <v>0.1</v>
      </c>
      <c r="K26" s="113">
        <v>0.1</v>
      </c>
      <c r="L26" s="113">
        <v>0.1</v>
      </c>
      <c r="M26" s="113">
        <v>0.1</v>
      </c>
      <c r="N26" s="113">
        <v>0.1</v>
      </c>
      <c r="O26" s="113">
        <v>0</v>
      </c>
      <c r="P26" s="113">
        <v>0</v>
      </c>
      <c r="Q26" s="113">
        <v>0</v>
      </c>
      <c r="R26" s="113">
        <v>0</v>
      </c>
      <c r="S26" s="113">
        <v>0.3</v>
      </c>
      <c r="T26" s="113">
        <v>0.3</v>
      </c>
      <c r="U26" s="113">
        <v>0.3</v>
      </c>
      <c r="V26" s="113">
        <v>0.3</v>
      </c>
      <c r="W26" s="113">
        <v>0.3</v>
      </c>
      <c r="X26" s="113">
        <v>0.3</v>
      </c>
      <c r="Y26" s="113">
        <v>0.3</v>
      </c>
      <c r="Z26" s="113">
        <v>0.3</v>
      </c>
      <c r="AA26" s="113">
        <v>0.3</v>
      </c>
      <c r="AB26" s="113">
        <v>0.3</v>
      </c>
      <c r="AC26" s="113">
        <v>0.5</v>
      </c>
      <c r="AD26" s="113">
        <v>0.5</v>
      </c>
      <c r="AE26" s="113">
        <v>0.5</v>
      </c>
      <c r="AF26" s="113">
        <v>0.5</v>
      </c>
      <c r="AG26" s="45"/>
    </row>
    <row r="27" spans="1:33" ht="23.25">
      <c r="A27" s="14" t="s">
        <v>11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45"/>
    </row>
    <row r="28" spans="1:33" ht="23.25">
      <c r="A28" s="14" t="s">
        <v>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45"/>
    </row>
    <row r="29" spans="1:33" ht="23.25">
      <c r="A29" s="8"/>
      <c r="B29" s="77">
        <f>SUM(B18+B19+B20+B25+B26+B27+B28)</f>
        <v>16.099999999999998</v>
      </c>
      <c r="C29" s="77">
        <f aca="true" t="shared" si="2" ref="C29:AF29">SUM(C18+C19+C20+C25+C26+C27+C28)</f>
        <v>16.84</v>
      </c>
      <c r="D29" s="77">
        <f t="shared" si="2"/>
        <v>17.619999999999997</v>
      </c>
      <c r="E29" s="77">
        <f t="shared" si="2"/>
        <v>15.120000000000001</v>
      </c>
      <c r="F29" s="77">
        <f t="shared" si="2"/>
        <v>17.169999999999998</v>
      </c>
      <c r="G29" s="77">
        <f t="shared" si="2"/>
        <v>19.02</v>
      </c>
      <c r="H29" s="77">
        <f t="shared" si="2"/>
        <v>14.370000000000001</v>
      </c>
      <c r="I29" s="77">
        <f t="shared" si="2"/>
        <v>14.08</v>
      </c>
      <c r="J29" s="77">
        <f t="shared" si="2"/>
        <v>14.49</v>
      </c>
      <c r="K29" s="77">
        <f t="shared" si="2"/>
        <v>13.39</v>
      </c>
      <c r="L29" s="77">
        <f t="shared" si="2"/>
        <v>11.64</v>
      </c>
      <c r="M29" s="77">
        <f t="shared" si="2"/>
        <v>10.33</v>
      </c>
      <c r="N29" s="77">
        <f t="shared" si="2"/>
        <v>10.99</v>
      </c>
      <c r="O29" s="77">
        <f t="shared" si="2"/>
        <v>15.75</v>
      </c>
      <c r="P29" s="77">
        <f t="shared" si="2"/>
        <v>15.08</v>
      </c>
      <c r="Q29" s="77">
        <f t="shared" si="2"/>
        <v>17.52</v>
      </c>
      <c r="R29" s="77">
        <f t="shared" si="2"/>
        <v>16.32</v>
      </c>
      <c r="S29" s="77">
        <f t="shared" si="2"/>
        <v>15.73</v>
      </c>
      <c r="T29" s="77">
        <f t="shared" si="2"/>
        <v>16.310000000000002</v>
      </c>
      <c r="U29" s="77">
        <f t="shared" si="2"/>
        <v>16.650000000000002</v>
      </c>
      <c r="V29" s="77">
        <f t="shared" si="2"/>
        <v>17.25</v>
      </c>
      <c r="W29" s="77">
        <f t="shared" si="2"/>
        <v>15.420000000000002</v>
      </c>
      <c r="X29" s="77">
        <f t="shared" si="2"/>
        <v>15.150000000000002</v>
      </c>
      <c r="Y29" s="77">
        <f t="shared" si="2"/>
        <v>14.39</v>
      </c>
      <c r="Z29" s="77">
        <f t="shared" si="2"/>
        <v>14.31</v>
      </c>
      <c r="AA29" s="77">
        <f t="shared" si="2"/>
        <v>13.570000000000002</v>
      </c>
      <c r="AB29" s="77">
        <f t="shared" si="2"/>
        <v>14.990000000000002</v>
      </c>
      <c r="AC29" s="77">
        <f t="shared" si="2"/>
        <v>15.4</v>
      </c>
      <c r="AD29" s="77">
        <f t="shared" si="2"/>
        <v>14.66</v>
      </c>
      <c r="AE29" s="77">
        <f t="shared" si="2"/>
        <v>14.53</v>
      </c>
      <c r="AF29" s="77">
        <f t="shared" si="2"/>
        <v>14.38</v>
      </c>
      <c r="AG29" s="40">
        <f>AVERAGE(C29:AF29)</f>
        <v>15.082333333333333</v>
      </c>
    </row>
    <row r="30" spans="1:33" ht="23.25">
      <c r="A30" s="9" t="s">
        <v>12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45"/>
    </row>
    <row r="31" spans="1:33" ht="23.25">
      <c r="A31" s="8" t="s">
        <v>13</v>
      </c>
      <c r="B31" s="45">
        <v>2.6</v>
      </c>
      <c r="C31" s="45">
        <v>2.6</v>
      </c>
      <c r="D31" s="45">
        <v>2.3</v>
      </c>
      <c r="E31" s="45">
        <v>3.5</v>
      </c>
      <c r="F31" s="45">
        <v>2.6</v>
      </c>
      <c r="G31" s="45">
        <v>2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2.3</v>
      </c>
      <c r="P31" s="45">
        <v>2.1</v>
      </c>
      <c r="Q31" s="45">
        <v>1.9</v>
      </c>
      <c r="R31" s="45">
        <v>2.1</v>
      </c>
      <c r="S31" s="45">
        <v>2.4</v>
      </c>
      <c r="T31" s="45">
        <v>2.5</v>
      </c>
      <c r="U31" s="45">
        <v>2.3</v>
      </c>
      <c r="V31" s="45">
        <v>2.3</v>
      </c>
      <c r="W31" s="45">
        <v>2.4</v>
      </c>
      <c r="X31" s="45">
        <v>2.3</v>
      </c>
      <c r="Y31" s="45">
        <v>2.3</v>
      </c>
      <c r="Z31" s="45">
        <v>1.3</v>
      </c>
      <c r="AA31" s="45">
        <v>2</v>
      </c>
      <c r="AB31" s="45">
        <v>1.5</v>
      </c>
      <c r="AC31" s="45">
        <v>2.1</v>
      </c>
      <c r="AD31" s="45">
        <v>2</v>
      </c>
      <c r="AE31" s="45">
        <v>2.2</v>
      </c>
      <c r="AF31" s="45">
        <v>1.4</v>
      </c>
      <c r="AG31" s="45"/>
    </row>
    <row r="32" spans="1:33" ht="23.25">
      <c r="A32" s="8" t="s">
        <v>31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2</v>
      </c>
      <c r="I32" s="45">
        <v>2.3</v>
      </c>
      <c r="J32" s="45">
        <v>2.5</v>
      </c>
      <c r="K32" s="45">
        <v>1.6</v>
      </c>
      <c r="L32" s="45">
        <v>2.4</v>
      </c>
      <c r="M32" s="45">
        <v>2.1</v>
      </c>
      <c r="N32" s="45">
        <v>2.3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f>SUM(B32:AF32)</f>
        <v>15.2</v>
      </c>
    </row>
    <row r="33" spans="1:33" ht="23.25">
      <c r="A33" s="8" t="s">
        <v>4</v>
      </c>
      <c r="B33" s="45">
        <v>1.4</v>
      </c>
      <c r="C33" s="45">
        <v>1.4</v>
      </c>
      <c r="D33" s="45">
        <v>1.4</v>
      </c>
      <c r="E33" s="45">
        <v>1.4</v>
      </c>
      <c r="F33" s="45">
        <v>1.4</v>
      </c>
      <c r="G33" s="45">
        <v>1.4</v>
      </c>
      <c r="H33" s="45">
        <v>1.4</v>
      </c>
      <c r="I33" s="45">
        <v>1.4</v>
      </c>
      <c r="J33" s="45">
        <v>1.4</v>
      </c>
      <c r="K33" s="45">
        <v>1.4</v>
      </c>
      <c r="L33" s="45">
        <v>1.4</v>
      </c>
      <c r="M33" s="45">
        <v>1.4</v>
      </c>
      <c r="N33" s="45">
        <v>1.4</v>
      </c>
      <c r="O33" s="45">
        <v>1.4</v>
      </c>
      <c r="P33" s="45">
        <v>1.4</v>
      </c>
      <c r="Q33" s="45">
        <v>1.4</v>
      </c>
      <c r="R33" s="45">
        <v>1.1</v>
      </c>
      <c r="S33" s="45">
        <v>1.1</v>
      </c>
      <c r="T33" s="45">
        <v>1.1</v>
      </c>
      <c r="U33" s="45">
        <v>1</v>
      </c>
      <c r="V33" s="45">
        <v>1.5</v>
      </c>
      <c r="W33" s="45">
        <v>1.1</v>
      </c>
      <c r="X33" s="45">
        <v>1.4</v>
      </c>
      <c r="Y33" s="45">
        <v>1.5</v>
      </c>
      <c r="Z33" s="45">
        <v>1.5</v>
      </c>
      <c r="AA33" s="45">
        <v>1.5</v>
      </c>
      <c r="AB33" s="45">
        <v>1.5</v>
      </c>
      <c r="AC33" s="45">
        <v>1.5</v>
      </c>
      <c r="AD33" s="45">
        <v>1.5</v>
      </c>
      <c r="AE33" s="45">
        <v>1.5</v>
      </c>
      <c r="AF33" s="45">
        <v>1.5</v>
      </c>
      <c r="AG33" s="45"/>
    </row>
    <row r="34" spans="1:33" ht="23.25">
      <c r="A34" s="8" t="s">
        <v>14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/>
    </row>
    <row r="35" spans="1:33" ht="23.25">
      <c r="A35" s="8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/>
    </row>
    <row r="36" spans="1:33" ht="23.25">
      <c r="A36" s="9"/>
      <c r="B36" s="77">
        <f aca="true" t="shared" si="3" ref="B36:AF36">SUM(B31:B35)</f>
        <v>4</v>
      </c>
      <c r="C36" s="77">
        <f t="shared" si="3"/>
        <v>4</v>
      </c>
      <c r="D36" s="77">
        <f t="shared" si="3"/>
        <v>3.6999999999999997</v>
      </c>
      <c r="E36" s="77">
        <f t="shared" si="3"/>
        <v>4.9</v>
      </c>
      <c r="F36" s="77">
        <f t="shared" si="3"/>
        <v>4</v>
      </c>
      <c r="G36" s="77">
        <f t="shared" si="3"/>
        <v>3.4</v>
      </c>
      <c r="H36" s="77">
        <f t="shared" si="3"/>
        <v>3.4</v>
      </c>
      <c r="I36" s="77">
        <f t="shared" si="3"/>
        <v>3.6999999999999997</v>
      </c>
      <c r="J36" s="77">
        <f t="shared" si="3"/>
        <v>3.9</v>
      </c>
      <c r="K36" s="77">
        <f t="shared" si="3"/>
        <v>3</v>
      </c>
      <c r="L36" s="77">
        <f t="shared" si="3"/>
        <v>3.8</v>
      </c>
      <c r="M36" s="77">
        <f t="shared" si="3"/>
        <v>3.5</v>
      </c>
      <c r="N36" s="77">
        <f t="shared" si="3"/>
        <v>3.6999999999999997</v>
      </c>
      <c r="O36" s="77">
        <f t="shared" si="3"/>
        <v>3.6999999999999997</v>
      </c>
      <c r="P36" s="77">
        <f t="shared" si="3"/>
        <v>3.5</v>
      </c>
      <c r="Q36" s="77">
        <f t="shared" si="3"/>
        <v>3.3</v>
      </c>
      <c r="R36" s="77">
        <f t="shared" si="3"/>
        <v>3.2</v>
      </c>
      <c r="S36" s="77">
        <f t="shared" si="3"/>
        <v>3.5</v>
      </c>
      <c r="T36" s="77">
        <f t="shared" si="3"/>
        <v>3.6</v>
      </c>
      <c r="U36" s="77">
        <f t="shared" si="3"/>
        <v>3.3</v>
      </c>
      <c r="V36" s="77">
        <f t="shared" si="3"/>
        <v>3.8</v>
      </c>
      <c r="W36" s="77">
        <f t="shared" si="3"/>
        <v>3.5</v>
      </c>
      <c r="X36" s="77">
        <f t="shared" si="3"/>
        <v>3.6999999999999997</v>
      </c>
      <c r="Y36" s="77">
        <f t="shared" si="3"/>
        <v>3.8</v>
      </c>
      <c r="Z36" s="77">
        <f t="shared" si="3"/>
        <v>2.8</v>
      </c>
      <c r="AA36" s="77">
        <f t="shared" si="3"/>
        <v>3.5</v>
      </c>
      <c r="AB36" s="77">
        <f t="shared" si="3"/>
        <v>3</v>
      </c>
      <c r="AC36" s="77">
        <f t="shared" si="3"/>
        <v>3.6</v>
      </c>
      <c r="AD36" s="77">
        <f t="shared" si="3"/>
        <v>3.5</v>
      </c>
      <c r="AE36" s="77">
        <f t="shared" si="3"/>
        <v>3.7</v>
      </c>
      <c r="AF36" s="77">
        <f t="shared" si="3"/>
        <v>2.9</v>
      </c>
      <c r="AG36" s="40">
        <f>AVERAGE(B36:AE36)</f>
        <v>3.5999999999999996</v>
      </c>
    </row>
    <row r="37" spans="1:33" ht="23.25">
      <c r="A37" s="9" t="s">
        <v>15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40" t="s">
        <v>29</v>
      </c>
    </row>
    <row r="38" spans="1:33" ht="23.25">
      <c r="A38" s="8" t="s">
        <v>4</v>
      </c>
      <c r="B38" s="113">
        <v>0.5381073125</v>
      </c>
      <c r="C38" s="113">
        <v>0.70088525</v>
      </c>
      <c r="D38" s="113">
        <v>0.4932449375</v>
      </c>
      <c r="E38" s="113">
        <v>0.565688</v>
      </c>
      <c r="F38" s="113">
        <v>0.4793135</v>
      </c>
      <c r="G38" s="113">
        <v>0.395557375</v>
      </c>
      <c r="H38" s="113">
        <v>0.395557375</v>
      </c>
      <c r="I38" s="113">
        <v>0.395557375</v>
      </c>
      <c r="J38" s="113">
        <v>0.395557375</v>
      </c>
      <c r="K38" s="113">
        <v>0.395557375</v>
      </c>
      <c r="L38" s="113">
        <v>0.395557375</v>
      </c>
      <c r="M38" s="113">
        <v>0.395557375</v>
      </c>
      <c r="N38" s="113">
        <v>0.395557375</v>
      </c>
      <c r="O38" s="113">
        <v>0.395557375</v>
      </c>
      <c r="P38" s="113">
        <v>0.395557375</v>
      </c>
      <c r="Q38" s="113">
        <v>0.395557375</v>
      </c>
      <c r="R38" s="113">
        <v>0.395557375</v>
      </c>
      <c r="S38" s="113">
        <v>0.395557375</v>
      </c>
      <c r="T38" s="113">
        <v>0.395557375</v>
      </c>
      <c r="U38" s="113">
        <v>0.395557375</v>
      </c>
      <c r="V38" s="113">
        <v>0.395557375</v>
      </c>
      <c r="W38" s="113">
        <v>0.395557375</v>
      </c>
      <c r="X38" s="113">
        <v>0.395557375</v>
      </c>
      <c r="Y38" s="113">
        <v>0.395557375</v>
      </c>
      <c r="Z38" s="113">
        <v>0.395557375</v>
      </c>
      <c r="AA38" s="113">
        <v>0.395557375</v>
      </c>
      <c r="AB38" s="113">
        <v>0.395557375</v>
      </c>
      <c r="AC38" s="113">
        <v>0.395557375</v>
      </c>
      <c r="AD38" s="113">
        <v>0.395557375</v>
      </c>
      <c r="AE38" s="113">
        <v>0.395557375</v>
      </c>
      <c r="AF38" s="113">
        <v>0.395557375</v>
      </c>
      <c r="AG38" s="40">
        <f>AVERAGE(B38:AF38)</f>
        <v>0.4213461532258062</v>
      </c>
    </row>
    <row r="39" spans="1:33" ht="23.25">
      <c r="A39" s="8" t="s">
        <v>16</v>
      </c>
      <c r="B39" s="77">
        <f aca="true" t="shared" si="4" ref="B39:AF39">SUM(B38,B36,B29,B16,B9)</f>
        <v>58.297107312499996</v>
      </c>
      <c r="C39" s="77">
        <f t="shared" si="4"/>
        <v>58.23188525</v>
      </c>
      <c r="D39" s="77">
        <f t="shared" si="4"/>
        <v>56.874244937499995</v>
      </c>
      <c r="E39" s="77">
        <f t="shared" si="4"/>
        <v>53.272688</v>
      </c>
      <c r="F39" s="77">
        <f t="shared" si="4"/>
        <v>55.766313499999995</v>
      </c>
      <c r="G39" s="77">
        <f t="shared" si="4"/>
        <v>57.59755737500001</v>
      </c>
      <c r="H39" s="77">
        <f t="shared" si="4"/>
        <v>52.725557375</v>
      </c>
      <c r="I39" s="77">
        <f t="shared" si="4"/>
        <v>49.668557375</v>
      </c>
      <c r="J39" s="77">
        <f t="shared" si="4"/>
        <v>50.748557375000004</v>
      </c>
      <c r="K39" s="77">
        <f t="shared" si="4"/>
        <v>46.182557375</v>
      </c>
      <c r="L39" s="77">
        <f t="shared" si="4"/>
        <v>44.81155737499999</v>
      </c>
      <c r="M39" s="77">
        <f t="shared" si="4"/>
        <v>44.121557375</v>
      </c>
      <c r="N39" s="77">
        <f t="shared" si="4"/>
        <v>51.550557375</v>
      </c>
      <c r="O39" s="77">
        <f t="shared" si="4"/>
        <v>52.676557375</v>
      </c>
      <c r="P39" s="77">
        <f t="shared" si="4"/>
        <v>52.826557375</v>
      </c>
      <c r="Q39" s="77">
        <f t="shared" si="4"/>
        <v>52.200557374999995</v>
      </c>
      <c r="R39" s="77">
        <f t="shared" si="4"/>
        <v>52.181557375</v>
      </c>
      <c r="S39" s="77">
        <f t="shared" si="4"/>
        <v>50.56155737499999</v>
      </c>
      <c r="T39" s="77">
        <f t="shared" si="4"/>
        <v>51.315557375</v>
      </c>
      <c r="U39" s="77">
        <f t="shared" si="4"/>
        <v>54.357557375000006</v>
      </c>
      <c r="V39" s="77">
        <f t="shared" si="4"/>
        <v>53.611557375</v>
      </c>
      <c r="W39" s="77">
        <f t="shared" si="4"/>
        <v>51.377557375</v>
      </c>
      <c r="X39" s="77">
        <f t="shared" si="4"/>
        <v>51.345557375</v>
      </c>
      <c r="Y39" s="77">
        <f t="shared" si="4"/>
        <v>50.329557375</v>
      </c>
      <c r="Z39" s="77">
        <f t="shared" si="4"/>
        <v>48.737557375</v>
      </c>
      <c r="AA39" s="77">
        <f t="shared" si="4"/>
        <v>45.326557375</v>
      </c>
      <c r="AB39" s="77">
        <f t="shared" si="4"/>
        <v>51.976557375</v>
      </c>
      <c r="AC39" s="77">
        <f t="shared" si="4"/>
        <v>50.347557374999994</v>
      </c>
      <c r="AD39" s="77">
        <f t="shared" si="4"/>
        <v>50.805557375</v>
      </c>
      <c r="AE39" s="77">
        <f t="shared" si="4"/>
        <v>49.709557374999996</v>
      </c>
      <c r="AF39" s="77">
        <f t="shared" si="4"/>
        <v>47.974557375</v>
      </c>
      <c r="AG39" s="40"/>
    </row>
    <row r="40" spans="1:33" ht="23.25">
      <c r="A40" s="8" t="s">
        <v>17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45"/>
    </row>
    <row r="41" spans="1:33" ht="23.25">
      <c r="A41" s="9" t="s">
        <v>22</v>
      </c>
      <c r="B41" s="77">
        <f aca="true" t="shared" si="5" ref="B41:AF41">B39-B40</f>
        <v>58.297107312499996</v>
      </c>
      <c r="C41" s="77">
        <f t="shared" si="5"/>
        <v>58.23188525</v>
      </c>
      <c r="D41" s="77">
        <f t="shared" si="5"/>
        <v>56.874244937499995</v>
      </c>
      <c r="E41" s="77">
        <f t="shared" si="5"/>
        <v>53.272688</v>
      </c>
      <c r="F41" s="77">
        <f t="shared" si="5"/>
        <v>55.766313499999995</v>
      </c>
      <c r="G41" s="77">
        <f t="shared" si="5"/>
        <v>57.59755737500001</v>
      </c>
      <c r="H41" s="77">
        <f t="shared" si="5"/>
        <v>52.725557375</v>
      </c>
      <c r="I41" s="77">
        <f t="shared" si="5"/>
        <v>49.668557375</v>
      </c>
      <c r="J41" s="77">
        <f t="shared" si="5"/>
        <v>50.748557375000004</v>
      </c>
      <c r="K41" s="77">
        <f t="shared" si="5"/>
        <v>46.182557375</v>
      </c>
      <c r="L41" s="77">
        <f t="shared" si="5"/>
        <v>44.81155737499999</v>
      </c>
      <c r="M41" s="77">
        <f t="shared" si="5"/>
        <v>44.121557375</v>
      </c>
      <c r="N41" s="77">
        <f t="shared" si="5"/>
        <v>51.550557375</v>
      </c>
      <c r="O41" s="77">
        <f t="shared" si="5"/>
        <v>52.676557375</v>
      </c>
      <c r="P41" s="77">
        <f t="shared" si="5"/>
        <v>52.826557375</v>
      </c>
      <c r="Q41" s="77">
        <f t="shared" si="5"/>
        <v>52.200557374999995</v>
      </c>
      <c r="R41" s="77">
        <f t="shared" si="5"/>
        <v>52.181557375</v>
      </c>
      <c r="S41" s="77">
        <f t="shared" si="5"/>
        <v>50.56155737499999</v>
      </c>
      <c r="T41" s="77">
        <f t="shared" si="5"/>
        <v>51.315557375</v>
      </c>
      <c r="U41" s="77">
        <f t="shared" si="5"/>
        <v>54.357557375000006</v>
      </c>
      <c r="V41" s="77">
        <f t="shared" si="5"/>
        <v>53.611557375</v>
      </c>
      <c r="W41" s="77">
        <f t="shared" si="5"/>
        <v>51.377557375</v>
      </c>
      <c r="X41" s="77">
        <f t="shared" si="5"/>
        <v>51.345557375</v>
      </c>
      <c r="Y41" s="77">
        <f t="shared" si="5"/>
        <v>50.329557375</v>
      </c>
      <c r="Z41" s="77">
        <f t="shared" si="5"/>
        <v>48.737557375</v>
      </c>
      <c r="AA41" s="77">
        <f t="shared" si="5"/>
        <v>45.326557375</v>
      </c>
      <c r="AB41" s="77">
        <f t="shared" si="5"/>
        <v>51.976557375</v>
      </c>
      <c r="AC41" s="77">
        <f t="shared" si="5"/>
        <v>50.347557374999994</v>
      </c>
      <c r="AD41" s="77">
        <f t="shared" si="5"/>
        <v>50.805557375</v>
      </c>
      <c r="AE41" s="77">
        <f t="shared" si="5"/>
        <v>49.709557374999996</v>
      </c>
      <c r="AF41" s="77">
        <f t="shared" si="5"/>
        <v>47.974557375</v>
      </c>
      <c r="AG41" s="40">
        <f>AVERAGE(B41:AF41)</f>
        <v>51.532604217741934</v>
      </c>
    </row>
    <row r="42" spans="1:33" ht="23.2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44"/>
    </row>
    <row r="43" spans="1:33" ht="23.25">
      <c r="A43" s="8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47"/>
    </row>
    <row r="44" spans="2:33" ht="23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63"/>
  <sheetViews>
    <sheetView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7" sqref="B7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1" width="8.88671875" style="15" customWidth="1"/>
    <col min="32" max="32" width="10.3359375" style="37" bestFit="1" customWidth="1"/>
    <col min="33" max="16384" width="8.88671875" style="15" customWidth="1"/>
  </cols>
  <sheetData>
    <row r="1" spans="1:32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3"/>
    </row>
    <row r="2" spans="1:32" ht="23.25">
      <c r="A2" s="1">
        <v>41579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3"/>
    </row>
    <row r="3" spans="1:32" ht="23.25">
      <c r="A3" s="3" t="s">
        <v>21</v>
      </c>
      <c r="Z3" s="4"/>
      <c r="AA3" s="3"/>
      <c r="AB3" s="4"/>
      <c r="AC3" s="4"/>
      <c r="AD3" s="4"/>
      <c r="AE3" s="4"/>
      <c r="AF3" s="38"/>
    </row>
    <row r="4" spans="1:35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3.2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31" t="s">
        <v>33</v>
      </c>
    </row>
    <row r="6" spans="1:32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3.2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36"/>
    </row>
    <row r="8" spans="1:32" ht="23.25">
      <c r="A8" s="8" t="s">
        <v>1</v>
      </c>
      <c r="B8" s="116"/>
      <c r="C8" s="116"/>
      <c r="D8" s="116"/>
      <c r="E8" s="116"/>
      <c r="F8" s="116"/>
      <c r="G8" s="116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45"/>
    </row>
    <row r="9" spans="1:32" ht="23.25">
      <c r="A9" s="8"/>
      <c r="B9" s="116"/>
      <c r="C9" s="116"/>
      <c r="D9" s="116"/>
      <c r="E9" s="116"/>
      <c r="F9" s="116"/>
      <c r="G9" s="116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45"/>
    </row>
    <row r="10" spans="1:32" ht="23.25">
      <c r="A10" s="8" t="s">
        <v>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45"/>
    </row>
    <row r="11" spans="1:32" ht="23.25">
      <c r="A11" s="8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05" t="s">
        <v>29</v>
      </c>
    </row>
    <row r="12" spans="1:32" ht="23.25">
      <c r="A12" s="8"/>
      <c r="B12" s="83">
        <f>SUM(B8:B10)</f>
        <v>0</v>
      </c>
      <c r="C12" s="83">
        <f aca="true" t="shared" si="0" ref="C12:AE12">SUM(C8:C10)</f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83">
        <f t="shared" si="0"/>
        <v>0</v>
      </c>
      <c r="AF12" s="35">
        <f>AVERAGE(B12:AE12)</f>
        <v>0</v>
      </c>
    </row>
    <row r="13" spans="1:32" ht="23.25">
      <c r="A13" s="8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45"/>
    </row>
    <row r="14" spans="1:32" ht="23.25">
      <c r="A14" s="9" t="s">
        <v>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45"/>
    </row>
    <row r="15" spans="1:32" ht="23.25">
      <c r="A15" s="8" t="s">
        <v>19</v>
      </c>
      <c r="B15" s="125"/>
      <c r="C15" s="126"/>
      <c r="D15" s="126"/>
      <c r="E15" s="126"/>
      <c r="F15" s="126"/>
      <c r="G15" s="126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45"/>
    </row>
    <row r="16" spans="1:32" ht="23.25">
      <c r="A16" s="8"/>
      <c r="B16" s="125"/>
      <c r="C16" s="126"/>
      <c r="D16" s="126"/>
      <c r="E16" s="126"/>
      <c r="F16" s="126"/>
      <c r="G16" s="126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45"/>
    </row>
    <row r="17" spans="1:32" ht="23.25">
      <c r="A17" s="7" t="s">
        <v>28</v>
      </c>
      <c r="B17" s="122"/>
      <c r="C17" s="82"/>
      <c r="D17" s="82"/>
      <c r="E17" s="82"/>
      <c r="F17" s="82"/>
      <c r="G17" s="82"/>
      <c r="H17" s="122"/>
      <c r="I17" s="122"/>
      <c r="J17" s="122"/>
      <c r="K17" s="122"/>
      <c r="L17" s="122"/>
      <c r="M17" s="122"/>
      <c r="N17" s="122"/>
      <c r="O17" s="122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45"/>
    </row>
    <row r="18" spans="1:32" ht="23.25">
      <c r="A18" s="7"/>
      <c r="B18" s="122"/>
      <c r="C18" s="82"/>
      <c r="D18" s="82"/>
      <c r="E18" s="82"/>
      <c r="F18" s="82"/>
      <c r="G18" s="82"/>
      <c r="H18" s="122"/>
      <c r="I18" s="122"/>
      <c r="J18" s="122"/>
      <c r="K18" s="122"/>
      <c r="L18" s="122"/>
      <c r="M18" s="122"/>
      <c r="N18" s="122"/>
      <c r="O18" s="122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45"/>
    </row>
    <row r="19" spans="1:32" ht="23.25">
      <c r="A19" s="8" t="s">
        <v>5</v>
      </c>
      <c r="B19" s="122"/>
      <c r="C19" s="82"/>
      <c r="D19" s="82"/>
      <c r="E19" s="82"/>
      <c r="F19" s="82"/>
      <c r="G19" s="82"/>
      <c r="H19" s="122"/>
      <c r="I19" s="122"/>
      <c r="J19" s="122"/>
      <c r="K19" s="112"/>
      <c r="L19" s="122"/>
      <c r="M19" s="122"/>
      <c r="N19" s="122"/>
      <c r="O19" s="122"/>
      <c r="P19" s="122"/>
      <c r="Q19" s="122"/>
      <c r="R19" s="122"/>
      <c r="S19" s="11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45"/>
    </row>
    <row r="20" spans="1:32" ht="23.25">
      <c r="A20" s="8"/>
      <c r="B20" s="122"/>
      <c r="C20" s="82"/>
      <c r="D20" s="82"/>
      <c r="E20" s="82"/>
      <c r="F20" s="82"/>
      <c r="G20" s="82"/>
      <c r="H20" s="122"/>
      <c r="I20" s="122"/>
      <c r="J20" s="122"/>
      <c r="K20" s="112"/>
      <c r="L20" s="122"/>
      <c r="M20" s="122"/>
      <c r="N20" s="122"/>
      <c r="O20" s="122"/>
      <c r="P20" s="122"/>
      <c r="Q20" s="122"/>
      <c r="R20" s="122"/>
      <c r="S20" s="11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45"/>
    </row>
    <row r="21" spans="1:32" ht="23.25">
      <c r="A21" s="8" t="s">
        <v>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45"/>
    </row>
    <row r="22" spans="1:32" ht="23.25">
      <c r="A22" s="8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45"/>
    </row>
    <row r="23" spans="1:32" ht="23.25">
      <c r="A23" s="8" t="s">
        <v>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45"/>
    </row>
    <row r="24" spans="1:32" ht="23.25">
      <c r="A24" s="8"/>
      <c r="B24" s="134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05" t="s">
        <v>29</v>
      </c>
    </row>
    <row r="25" spans="1:32" ht="23.25">
      <c r="A25" s="8"/>
      <c r="B25" s="83">
        <f>SUM(B15:B23)</f>
        <v>0</v>
      </c>
      <c r="C25" s="83">
        <f aca="true" t="shared" si="1" ref="C25:AE25">SUM(C15:C23)</f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35">
        <f>AVERAGE(B25:AE25)</f>
        <v>0</v>
      </c>
    </row>
    <row r="26" spans="1:32" ht="23.25">
      <c r="A26" s="8"/>
      <c r="B26" s="128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45"/>
    </row>
    <row r="27" spans="1:32" ht="23.25">
      <c r="A27" s="16" t="s">
        <v>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45"/>
    </row>
    <row r="28" spans="1:32" ht="23.25">
      <c r="A28" s="14" t="s">
        <v>9</v>
      </c>
      <c r="B28" s="12"/>
      <c r="C28" s="12"/>
      <c r="D28" s="12"/>
      <c r="E28" s="12"/>
      <c r="F28" s="12"/>
      <c r="G28" s="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45"/>
    </row>
    <row r="29" spans="1:32" ht="23.25">
      <c r="A29" s="18" t="s">
        <v>28</v>
      </c>
      <c r="B29" s="129"/>
      <c r="C29" s="129"/>
      <c r="D29" s="129"/>
      <c r="E29" s="129"/>
      <c r="F29" s="129"/>
      <c r="G29" s="129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45"/>
    </row>
    <row r="30" spans="1:32" ht="23.25">
      <c r="A30" s="14" t="s">
        <v>10</v>
      </c>
      <c r="B30" s="129"/>
      <c r="C30" s="129"/>
      <c r="D30" s="129"/>
      <c r="E30" s="129"/>
      <c r="F30" s="129"/>
      <c r="G30" s="129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45"/>
    </row>
    <row r="31" spans="1:32" ht="23.25">
      <c r="A31" s="14" t="s">
        <v>25</v>
      </c>
      <c r="B31" s="130"/>
      <c r="C31" s="130"/>
      <c r="D31" s="130"/>
      <c r="E31" s="130"/>
      <c r="F31" s="130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45"/>
    </row>
    <row r="32" spans="1:32" ht="23.25">
      <c r="A32" s="14" t="s">
        <v>24</v>
      </c>
      <c r="B32" s="132"/>
      <c r="C32" s="132"/>
      <c r="D32" s="132"/>
      <c r="E32" s="132"/>
      <c r="F32" s="132"/>
      <c r="G32" s="13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45"/>
    </row>
    <row r="33" spans="1:32" ht="23.25">
      <c r="A33" s="14" t="s">
        <v>26</v>
      </c>
      <c r="B33" s="130"/>
      <c r="C33" s="130"/>
      <c r="D33" s="130"/>
      <c r="E33" s="130"/>
      <c r="F33" s="130"/>
      <c r="G33" s="130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45"/>
    </row>
    <row r="34" spans="1:32" ht="23.25">
      <c r="A34" s="14" t="s">
        <v>27</v>
      </c>
      <c r="B34" s="130"/>
      <c r="C34" s="130"/>
      <c r="D34" s="130"/>
      <c r="E34" s="130"/>
      <c r="F34" s="130"/>
      <c r="G34" s="130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45"/>
    </row>
    <row r="35" spans="1:32" ht="23.25">
      <c r="A35" s="14" t="s">
        <v>18</v>
      </c>
      <c r="B35" s="130"/>
      <c r="C35" s="130"/>
      <c r="D35" s="130"/>
      <c r="E35" s="130"/>
      <c r="F35" s="130"/>
      <c r="G35" s="130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45"/>
    </row>
    <row r="36" spans="1:32" ht="23.25">
      <c r="A36" s="14" t="s">
        <v>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33"/>
      <c r="Z36" s="133"/>
      <c r="AA36" s="133"/>
      <c r="AB36" s="133"/>
      <c r="AC36" s="133"/>
      <c r="AD36" s="133"/>
      <c r="AE36" s="133"/>
      <c r="AF36" s="45"/>
    </row>
    <row r="37" spans="1:32" ht="23.25">
      <c r="A37" s="14" t="s">
        <v>11</v>
      </c>
      <c r="B37" s="116"/>
      <c r="C37" s="116"/>
      <c r="D37" s="116"/>
      <c r="E37" s="116"/>
      <c r="F37" s="116"/>
      <c r="G37" s="116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45"/>
    </row>
    <row r="38" spans="1:32" ht="23.25">
      <c r="A38" s="14" t="s">
        <v>7</v>
      </c>
      <c r="B38" s="116"/>
      <c r="C38" s="116"/>
      <c r="D38" s="116"/>
      <c r="E38" s="116"/>
      <c r="F38" s="116"/>
      <c r="G38" s="116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45"/>
    </row>
    <row r="39" spans="1:32" ht="23.25">
      <c r="A39" s="14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05" t="s">
        <v>29</v>
      </c>
    </row>
    <row r="40" spans="1:32" ht="23.25">
      <c r="A40" s="8"/>
      <c r="B40" s="83">
        <f>SUM(B28+B29+B30+B35+B36+B37+B38)</f>
        <v>0</v>
      </c>
      <c r="C40" s="83">
        <f aca="true" t="shared" si="2" ref="C40:AE40">SUM(C28+C29+C30+C35+C36+C37+C38)</f>
        <v>0</v>
      </c>
      <c r="D40" s="83">
        <f t="shared" si="2"/>
        <v>0</v>
      </c>
      <c r="E40" s="83">
        <f t="shared" si="2"/>
        <v>0</v>
      </c>
      <c r="F40" s="83">
        <f t="shared" si="2"/>
        <v>0</v>
      </c>
      <c r="G40" s="83">
        <f t="shared" si="2"/>
        <v>0</v>
      </c>
      <c r="H40" s="83">
        <f t="shared" si="2"/>
        <v>0</v>
      </c>
      <c r="I40" s="83">
        <f t="shared" si="2"/>
        <v>0</v>
      </c>
      <c r="J40" s="83">
        <f t="shared" si="2"/>
        <v>0</v>
      </c>
      <c r="K40" s="83">
        <f t="shared" si="2"/>
        <v>0</v>
      </c>
      <c r="L40" s="83">
        <f t="shared" si="2"/>
        <v>0</v>
      </c>
      <c r="M40" s="83">
        <f t="shared" si="2"/>
        <v>0</v>
      </c>
      <c r="N40" s="83">
        <f t="shared" si="2"/>
        <v>0</v>
      </c>
      <c r="O40" s="83">
        <f t="shared" si="2"/>
        <v>0</v>
      </c>
      <c r="P40" s="83">
        <f t="shared" si="2"/>
        <v>0</v>
      </c>
      <c r="Q40" s="83">
        <f t="shared" si="2"/>
        <v>0</v>
      </c>
      <c r="R40" s="83">
        <f t="shared" si="2"/>
        <v>0</v>
      </c>
      <c r="S40" s="83">
        <f t="shared" si="2"/>
        <v>0</v>
      </c>
      <c r="T40" s="83">
        <f t="shared" si="2"/>
        <v>0</v>
      </c>
      <c r="U40" s="83">
        <f t="shared" si="2"/>
        <v>0</v>
      </c>
      <c r="V40" s="83">
        <f t="shared" si="2"/>
        <v>0</v>
      </c>
      <c r="W40" s="83">
        <f t="shared" si="2"/>
        <v>0</v>
      </c>
      <c r="X40" s="83">
        <f t="shared" si="2"/>
        <v>0</v>
      </c>
      <c r="Y40" s="83">
        <f t="shared" si="2"/>
        <v>0</v>
      </c>
      <c r="Z40" s="83">
        <f t="shared" si="2"/>
        <v>0</v>
      </c>
      <c r="AA40" s="83">
        <f t="shared" si="2"/>
        <v>0</v>
      </c>
      <c r="AB40" s="83">
        <f t="shared" si="2"/>
        <v>0</v>
      </c>
      <c r="AC40" s="83">
        <f t="shared" si="2"/>
        <v>0</v>
      </c>
      <c r="AD40" s="83">
        <f t="shared" si="2"/>
        <v>0</v>
      </c>
      <c r="AE40" s="83">
        <f t="shared" si="2"/>
        <v>0</v>
      </c>
      <c r="AF40" s="35">
        <f>AVERAGE(B40:AE40)</f>
        <v>0</v>
      </c>
    </row>
    <row r="41" spans="1:32" ht="23.25">
      <c r="A41" s="8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45"/>
    </row>
    <row r="42" spans="1:32" ht="23.25">
      <c r="A42" s="9" t="s">
        <v>12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45"/>
    </row>
    <row r="43" spans="1:32" ht="23.25">
      <c r="A43" s="8" t="s">
        <v>13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45"/>
    </row>
    <row r="44" spans="1:32" ht="23.25">
      <c r="A44" s="8" t="s">
        <v>31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45"/>
    </row>
    <row r="45" spans="1:32" ht="23.25">
      <c r="A45" s="8" t="s">
        <v>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45"/>
    </row>
    <row r="46" spans="1:32" ht="23.25">
      <c r="A46" s="8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45"/>
    </row>
    <row r="47" spans="1:32" ht="23.25">
      <c r="A47" s="8" t="s">
        <v>14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45"/>
    </row>
    <row r="48" spans="1:32" ht="23.25">
      <c r="A48" s="8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45"/>
    </row>
    <row r="49" spans="1:32" ht="23.25">
      <c r="A49" s="8" t="s">
        <v>11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45"/>
    </row>
    <row r="50" spans="1:32" ht="23.25">
      <c r="A50" s="8"/>
      <c r="B50" s="135"/>
      <c r="C50" s="135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05" t="s">
        <v>29</v>
      </c>
    </row>
    <row r="51" spans="1:32" ht="23.25">
      <c r="A51" s="9"/>
      <c r="B51" s="83">
        <v>0</v>
      </c>
      <c r="C51" s="83">
        <f aca="true" t="shared" si="3" ref="C51:AE51">SUM(C43:C49)</f>
        <v>0</v>
      </c>
      <c r="D51" s="83">
        <f t="shared" si="3"/>
        <v>0</v>
      </c>
      <c r="E51" s="83">
        <f t="shared" si="3"/>
        <v>0</v>
      </c>
      <c r="F51" s="83">
        <f t="shared" si="3"/>
        <v>0</v>
      </c>
      <c r="G51" s="83">
        <f t="shared" si="3"/>
        <v>0</v>
      </c>
      <c r="H51" s="83">
        <f t="shared" si="3"/>
        <v>0</v>
      </c>
      <c r="I51" s="83">
        <f t="shared" si="3"/>
        <v>0</v>
      </c>
      <c r="J51" s="83">
        <f t="shared" si="3"/>
        <v>0</v>
      </c>
      <c r="K51" s="83">
        <f t="shared" si="3"/>
        <v>0</v>
      </c>
      <c r="L51" s="83">
        <f t="shared" si="3"/>
        <v>0</v>
      </c>
      <c r="M51" s="83">
        <f t="shared" si="3"/>
        <v>0</v>
      </c>
      <c r="N51" s="83">
        <f t="shared" si="3"/>
        <v>0</v>
      </c>
      <c r="O51" s="83">
        <f t="shared" si="3"/>
        <v>0</v>
      </c>
      <c r="P51" s="83">
        <f t="shared" si="3"/>
        <v>0</v>
      </c>
      <c r="Q51" s="83">
        <f t="shared" si="3"/>
        <v>0</v>
      </c>
      <c r="R51" s="83">
        <f t="shared" si="3"/>
        <v>0</v>
      </c>
      <c r="S51" s="83">
        <f t="shared" si="3"/>
        <v>0</v>
      </c>
      <c r="T51" s="83">
        <f t="shared" si="3"/>
        <v>0</v>
      </c>
      <c r="U51" s="83">
        <f t="shared" si="3"/>
        <v>0</v>
      </c>
      <c r="V51" s="83">
        <f t="shared" si="3"/>
        <v>0</v>
      </c>
      <c r="W51" s="83">
        <f t="shared" si="3"/>
        <v>0</v>
      </c>
      <c r="X51" s="83">
        <f t="shared" si="3"/>
        <v>0</v>
      </c>
      <c r="Y51" s="83">
        <f t="shared" si="3"/>
        <v>0</v>
      </c>
      <c r="Z51" s="83">
        <f t="shared" si="3"/>
        <v>0</v>
      </c>
      <c r="AA51" s="83">
        <f t="shared" si="3"/>
        <v>0</v>
      </c>
      <c r="AB51" s="83">
        <f t="shared" si="3"/>
        <v>0</v>
      </c>
      <c r="AC51" s="83">
        <f t="shared" si="3"/>
        <v>0</v>
      </c>
      <c r="AD51" s="83">
        <f t="shared" si="3"/>
        <v>0</v>
      </c>
      <c r="AE51" s="83">
        <f t="shared" si="3"/>
        <v>0</v>
      </c>
      <c r="AF51" s="35">
        <f>AVERAGE(B51:AE51)</f>
        <v>0</v>
      </c>
    </row>
    <row r="52" spans="1:32" ht="23.25">
      <c r="A52" s="9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45"/>
    </row>
    <row r="53" spans="1:32" ht="23.25">
      <c r="A53" s="9" t="s">
        <v>15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40" t="s">
        <v>29</v>
      </c>
    </row>
    <row r="54" spans="1:32" ht="23.25">
      <c r="A54" s="8" t="s">
        <v>4</v>
      </c>
      <c r="B54" s="136"/>
      <c r="C54" s="136"/>
      <c r="D54" s="136"/>
      <c r="E54" s="136"/>
      <c r="F54" s="136"/>
      <c r="G54" s="136"/>
      <c r="H54" s="136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35" t="e">
        <f>AVERAGE(B54:AE54)</f>
        <v>#DIV/0!</v>
      </c>
    </row>
    <row r="55" spans="1:32" ht="23.25">
      <c r="A55" s="8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45"/>
    </row>
    <row r="56" spans="1:32" ht="23.25">
      <c r="A56" s="8" t="s">
        <v>16</v>
      </c>
      <c r="B56" s="77">
        <f>SUM(B54,B51,B40,B25,B12)</f>
        <v>0</v>
      </c>
      <c r="C56" s="77">
        <f aca="true" t="shared" si="4" ref="C56:AE56">SUM(C54,C51,C40,C25,C12)</f>
        <v>0</v>
      </c>
      <c r="D56" s="77">
        <f t="shared" si="4"/>
        <v>0</v>
      </c>
      <c r="E56" s="77">
        <f t="shared" si="4"/>
        <v>0</v>
      </c>
      <c r="F56" s="77">
        <f t="shared" si="4"/>
        <v>0</v>
      </c>
      <c r="G56" s="77">
        <f t="shared" si="4"/>
        <v>0</v>
      </c>
      <c r="H56" s="77">
        <f t="shared" si="4"/>
        <v>0</v>
      </c>
      <c r="I56" s="77">
        <f t="shared" si="4"/>
        <v>0</v>
      </c>
      <c r="J56" s="77">
        <f t="shared" si="4"/>
        <v>0</v>
      </c>
      <c r="K56" s="77">
        <f t="shared" si="4"/>
        <v>0</v>
      </c>
      <c r="L56" s="77">
        <f t="shared" si="4"/>
        <v>0</v>
      </c>
      <c r="M56" s="77">
        <f t="shared" si="4"/>
        <v>0</v>
      </c>
      <c r="N56" s="77">
        <f t="shared" si="4"/>
        <v>0</v>
      </c>
      <c r="O56" s="77">
        <f t="shared" si="4"/>
        <v>0</v>
      </c>
      <c r="P56" s="77">
        <f t="shared" si="4"/>
        <v>0</v>
      </c>
      <c r="Q56" s="77">
        <f t="shared" si="4"/>
        <v>0</v>
      </c>
      <c r="R56" s="77">
        <f t="shared" si="4"/>
        <v>0</v>
      </c>
      <c r="S56" s="77">
        <f t="shared" si="4"/>
        <v>0</v>
      </c>
      <c r="T56" s="77">
        <f t="shared" si="4"/>
        <v>0</v>
      </c>
      <c r="U56" s="77">
        <f t="shared" si="4"/>
        <v>0</v>
      </c>
      <c r="V56" s="77">
        <f t="shared" si="4"/>
        <v>0</v>
      </c>
      <c r="W56" s="77">
        <f t="shared" si="4"/>
        <v>0</v>
      </c>
      <c r="X56" s="77">
        <f t="shared" si="4"/>
        <v>0</v>
      </c>
      <c r="Y56" s="77">
        <f t="shared" si="4"/>
        <v>0</v>
      </c>
      <c r="Z56" s="77">
        <f t="shared" si="4"/>
        <v>0</v>
      </c>
      <c r="AA56" s="77">
        <f t="shared" si="4"/>
        <v>0</v>
      </c>
      <c r="AB56" s="77">
        <f t="shared" si="4"/>
        <v>0</v>
      </c>
      <c r="AC56" s="77">
        <f t="shared" si="4"/>
        <v>0</v>
      </c>
      <c r="AD56" s="77">
        <f t="shared" si="4"/>
        <v>0</v>
      </c>
      <c r="AE56" s="77">
        <f t="shared" si="4"/>
        <v>0</v>
      </c>
      <c r="AF56" s="40">
        <f>AVERAGE(B56:AE56)</f>
        <v>0</v>
      </c>
    </row>
    <row r="57" spans="1:32" ht="23.2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40"/>
    </row>
    <row r="58" spans="1:32" ht="23.25">
      <c r="A58" s="8" t="s">
        <v>17</v>
      </c>
      <c r="B58" s="113">
        <f aca="true" t="shared" si="5" ref="B58:AE58">-SUM(B21+B23+B37+B38+B47+B49)</f>
        <v>0</v>
      </c>
      <c r="C58" s="113">
        <f t="shared" si="5"/>
        <v>0</v>
      </c>
      <c r="D58" s="113">
        <f t="shared" si="5"/>
        <v>0</v>
      </c>
      <c r="E58" s="113">
        <f t="shared" si="5"/>
        <v>0</v>
      </c>
      <c r="F58" s="113">
        <f t="shared" si="5"/>
        <v>0</v>
      </c>
      <c r="G58" s="113">
        <f t="shared" si="5"/>
        <v>0</v>
      </c>
      <c r="H58" s="113">
        <f t="shared" si="5"/>
        <v>0</v>
      </c>
      <c r="I58" s="113">
        <f t="shared" si="5"/>
        <v>0</v>
      </c>
      <c r="J58" s="113">
        <f t="shared" si="5"/>
        <v>0</v>
      </c>
      <c r="K58" s="113">
        <f t="shared" si="5"/>
        <v>0</v>
      </c>
      <c r="L58" s="113">
        <f t="shared" si="5"/>
        <v>0</v>
      </c>
      <c r="M58" s="113">
        <f t="shared" si="5"/>
        <v>0</v>
      </c>
      <c r="N58" s="113">
        <f t="shared" si="5"/>
        <v>0</v>
      </c>
      <c r="O58" s="113">
        <f t="shared" si="5"/>
        <v>0</v>
      </c>
      <c r="P58" s="113">
        <f t="shared" si="5"/>
        <v>0</v>
      </c>
      <c r="Q58" s="113">
        <f t="shared" si="5"/>
        <v>0</v>
      </c>
      <c r="R58" s="113">
        <f t="shared" si="5"/>
        <v>0</v>
      </c>
      <c r="S58" s="113">
        <f t="shared" si="5"/>
        <v>0</v>
      </c>
      <c r="T58" s="113">
        <f t="shared" si="5"/>
        <v>0</v>
      </c>
      <c r="U58" s="113">
        <f t="shared" si="5"/>
        <v>0</v>
      </c>
      <c r="V58" s="113">
        <f t="shared" si="5"/>
        <v>0</v>
      </c>
      <c r="W58" s="113">
        <f t="shared" si="5"/>
        <v>0</v>
      </c>
      <c r="X58" s="113">
        <f t="shared" si="5"/>
        <v>0</v>
      </c>
      <c r="Y58" s="113">
        <f t="shared" si="5"/>
        <v>0</v>
      </c>
      <c r="Z58" s="113">
        <f t="shared" si="5"/>
        <v>0</v>
      </c>
      <c r="AA58" s="113">
        <f t="shared" si="5"/>
        <v>0</v>
      </c>
      <c r="AB58" s="113">
        <f t="shared" si="5"/>
        <v>0</v>
      </c>
      <c r="AC58" s="113">
        <f t="shared" si="5"/>
        <v>0</v>
      </c>
      <c r="AD58" s="113">
        <f t="shared" si="5"/>
        <v>0</v>
      </c>
      <c r="AE58" s="113">
        <f t="shared" si="5"/>
        <v>0</v>
      </c>
      <c r="AF58" s="45"/>
    </row>
    <row r="59" spans="1:32" ht="23.25">
      <c r="A59" s="8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05" t="s">
        <v>29</v>
      </c>
    </row>
    <row r="60" spans="1:32" ht="24" thickBot="1">
      <c r="A60" s="9" t="s">
        <v>22</v>
      </c>
      <c r="B60" s="78">
        <f>B56-B58</f>
        <v>0</v>
      </c>
      <c r="C60" s="78">
        <f aca="true" t="shared" si="6" ref="C60:AE60">C56-C58</f>
        <v>0</v>
      </c>
      <c r="D60" s="78">
        <f t="shared" si="6"/>
        <v>0</v>
      </c>
      <c r="E60" s="78">
        <f t="shared" si="6"/>
        <v>0</v>
      </c>
      <c r="F60" s="78">
        <f t="shared" si="6"/>
        <v>0</v>
      </c>
      <c r="G60" s="78">
        <f t="shared" si="6"/>
        <v>0</v>
      </c>
      <c r="H60" s="78">
        <f t="shared" si="6"/>
        <v>0</v>
      </c>
      <c r="I60" s="78">
        <f t="shared" si="6"/>
        <v>0</v>
      </c>
      <c r="J60" s="78">
        <f t="shared" si="6"/>
        <v>0</v>
      </c>
      <c r="K60" s="78">
        <f t="shared" si="6"/>
        <v>0</v>
      </c>
      <c r="L60" s="78">
        <f t="shared" si="6"/>
        <v>0</v>
      </c>
      <c r="M60" s="78">
        <f t="shared" si="6"/>
        <v>0</v>
      </c>
      <c r="N60" s="78">
        <f t="shared" si="6"/>
        <v>0</v>
      </c>
      <c r="O60" s="78">
        <f t="shared" si="6"/>
        <v>0</v>
      </c>
      <c r="P60" s="78">
        <f t="shared" si="6"/>
        <v>0</v>
      </c>
      <c r="Q60" s="78">
        <f t="shared" si="6"/>
        <v>0</v>
      </c>
      <c r="R60" s="78">
        <f t="shared" si="6"/>
        <v>0</v>
      </c>
      <c r="S60" s="78">
        <f t="shared" si="6"/>
        <v>0</v>
      </c>
      <c r="T60" s="78">
        <f t="shared" si="6"/>
        <v>0</v>
      </c>
      <c r="U60" s="78">
        <f t="shared" si="6"/>
        <v>0</v>
      </c>
      <c r="V60" s="78">
        <f t="shared" si="6"/>
        <v>0</v>
      </c>
      <c r="W60" s="78">
        <f t="shared" si="6"/>
        <v>0</v>
      </c>
      <c r="X60" s="78">
        <f t="shared" si="6"/>
        <v>0</v>
      </c>
      <c r="Y60" s="78">
        <f t="shared" si="6"/>
        <v>0</v>
      </c>
      <c r="Z60" s="78">
        <f t="shared" si="6"/>
        <v>0</v>
      </c>
      <c r="AA60" s="78">
        <f t="shared" si="6"/>
        <v>0</v>
      </c>
      <c r="AB60" s="78">
        <f t="shared" si="6"/>
        <v>0</v>
      </c>
      <c r="AC60" s="78">
        <f t="shared" si="6"/>
        <v>0</v>
      </c>
      <c r="AD60" s="78">
        <f t="shared" si="6"/>
        <v>0</v>
      </c>
      <c r="AE60" s="78">
        <f t="shared" si="6"/>
        <v>0</v>
      </c>
      <c r="AF60" s="41">
        <f>AVERAGE(B60:AE60)</f>
        <v>0</v>
      </c>
    </row>
    <row r="61" spans="1:32" ht="23.2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44"/>
    </row>
    <row r="62" spans="1:32" ht="23.25">
      <c r="A62" s="8" t="s">
        <v>32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47"/>
    </row>
    <row r="63" spans="2:32" ht="23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3"/>
  <sheetViews>
    <sheetView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6" sqref="B6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2" width="8.88671875" style="15" customWidth="1"/>
    <col min="33" max="33" width="10.3359375" style="37" bestFit="1" customWidth="1"/>
    <col min="34" max="16384" width="8.88671875" style="15" customWidth="1"/>
  </cols>
  <sheetData>
    <row r="1" spans="1:33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3"/>
    </row>
    <row r="2" spans="1:33" ht="23.25">
      <c r="A2" s="1">
        <v>41609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3"/>
    </row>
    <row r="3" spans="1:33" ht="23.25">
      <c r="A3" s="3" t="s">
        <v>21</v>
      </c>
      <c r="Z3" s="4"/>
      <c r="AA3" s="3"/>
      <c r="AB3" s="4"/>
      <c r="AC3" s="4"/>
      <c r="AD3" s="4"/>
      <c r="AE3" s="4"/>
      <c r="AF3" s="4"/>
      <c r="AG3" s="38"/>
    </row>
    <row r="4" spans="1:36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31" t="s">
        <v>33</v>
      </c>
    </row>
    <row r="6" spans="1:33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9"/>
      <c r="B7" s="16"/>
      <c r="C7" s="16"/>
      <c r="D7" s="16"/>
      <c r="E7" s="16"/>
      <c r="F7" s="16"/>
      <c r="G7" s="16"/>
      <c r="H7" s="16"/>
      <c r="I7" s="74"/>
      <c r="J7" s="74"/>
      <c r="K7" s="74"/>
      <c r="L7" s="74"/>
      <c r="M7" s="74"/>
      <c r="N7" s="74"/>
      <c r="O7" s="74"/>
      <c r="P7" s="74"/>
      <c r="Q7" s="22"/>
      <c r="R7" s="22"/>
      <c r="S7" s="25"/>
      <c r="T7" s="25"/>
      <c r="U7" s="25"/>
      <c r="V7" s="25"/>
      <c r="W7" s="25"/>
      <c r="X7" s="25"/>
      <c r="Y7" s="25"/>
      <c r="Z7" s="22"/>
      <c r="AA7" s="22"/>
      <c r="AB7" s="22"/>
      <c r="AC7" s="22"/>
      <c r="AD7" s="22"/>
      <c r="AE7" s="22"/>
      <c r="AF7" s="22"/>
      <c r="AG7" s="36"/>
    </row>
    <row r="8" spans="1:33" ht="23.25">
      <c r="A8" s="8" t="s">
        <v>1</v>
      </c>
      <c r="B8" s="116"/>
      <c r="C8" s="116"/>
      <c r="D8" s="116"/>
      <c r="E8" s="116"/>
      <c r="F8" s="116"/>
      <c r="G8" s="116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45"/>
    </row>
    <row r="9" spans="1:33" ht="23.25">
      <c r="A9" s="8"/>
      <c r="B9" s="116"/>
      <c r="C9" s="116"/>
      <c r="D9" s="116"/>
      <c r="E9" s="116"/>
      <c r="F9" s="116"/>
      <c r="G9" s="116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45"/>
    </row>
    <row r="10" spans="1:33" ht="23.25">
      <c r="A10" s="8" t="s">
        <v>2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45"/>
    </row>
    <row r="11" spans="1:33" ht="23.25">
      <c r="A11" s="8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05" t="s">
        <v>29</v>
      </c>
    </row>
    <row r="12" spans="1:33" ht="23.25">
      <c r="A12" s="8"/>
      <c r="B12" s="83">
        <f>SUM(B8:B10)</f>
        <v>0</v>
      </c>
      <c r="C12" s="83">
        <f aca="true" t="shared" si="0" ref="C12:AF12">SUM(C8:C10)</f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35">
        <f>AVERAGE(B12:AF12)</f>
        <v>0</v>
      </c>
    </row>
    <row r="13" spans="1:33" ht="23.25">
      <c r="A13" s="8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45"/>
    </row>
    <row r="14" spans="1:33" ht="23.25">
      <c r="A14" s="9" t="s">
        <v>3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45"/>
    </row>
    <row r="15" spans="1:33" ht="23.25">
      <c r="A15" s="8" t="s">
        <v>19</v>
      </c>
      <c r="B15" s="125"/>
      <c r="C15" s="126"/>
      <c r="D15" s="126"/>
      <c r="E15" s="126"/>
      <c r="F15" s="126"/>
      <c r="G15" s="126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45"/>
    </row>
    <row r="16" spans="1:33" ht="23.25">
      <c r="A16" s="8"/>
      <c r="B16" s="125"/>
      <c r="C16" s="126"/>
      <c r="D16" s="126"/>
      <c r="E16" s="126"/>
      <c r="F16" s="126"/>
      <c r="G16" s="126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45"/>
    </row>
    <row r="17" spans="1:33" ht="23.25">
      <c r="A17" s="7" t="s">
        <v>28</v>
      </c>
      <c r="B17" s="122"/>
      <c r="C17" s="82"/>
      <c r="D17" s="82"/>
      <c r="E17" s="82"/>
      <c r="F17" s="82"/>
      <c r="G17" s="82"/>
      <c r="H17" s="122"/>
      <c r="I17" s="122"/>
      <c r="J17" s="122"/>
      <c r="K17" s="122"/>
      <c r="L17" s="122"/>
      <c r="M17" s="122"/>
      <c r="N17" s="122"/>
      <c r="O17" s="122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  <c r="AA17" s="127"/>
      <c r="AB17" s="127"/>
      <c r="AC17" s="127"/>
      <c r="AD17" s="127"/>
      <c r="AE17" s="127"/>
      <c r="AF17" s="127"/>
      <c r="AG17" s="45"/>
    </row>
    <row r="18" spans="1:33" ht="23.25">
      <c r="A18" s="7"/>
      <c r="B18" s="122"/>
      <c r="C18" s="82"/>
      <c r="D18" s="82"/>
      <c r="E18" s="82"/>
      <c r="F18" s="82"/>
      <c r="G18" s="82"/>
      <c r="H18" s="122"/>
      <c r="I18" s="122"/>
      <c r="J18" s="122"/>
      <c r="K18" s="122"/>
      <c r="L18" s="122"/>
      <c r="M18" s="122"/>
      <c r="N18" s="122"/>
      <c r="O18" s="122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45"/>
    </row>
    <row r="19" spans="1:33" ht="23.25">
      <c r="A19" s="8" t="s">
        <v>5</v>
      </c>
      <c r="B19" s="122"/>
      <c r="C19" s="82"/>
      <c r="D19" s="82"/>
      <c r="E19" s="82"/>
      <c r="F19" s="82"/>
      <c r="G19" s="82"/>
      <c r="H19" s="122"/>
      <c r="I19" s="122"/>
      <c r="J19" s="122"/>
      <c r="K19" s="112"/>
      <c r="L19" s="122"/>
      <c r="M19" s="122"/>
      <c r="N19" s="122"/>
      <c r="O19" s="122"/>
      <c r="P19" s="122"/>
      <c r="Q19" s="122"/>
      <c r="R19" s="122"/>
      <c r="S19" s="11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45"/>
    </row>
    <row r="20" spans="1:33" ht="23.25">
      <c r="A20" s="8"/>
      <c r="B20" s="122"/>
      <c r="C20" s="82"/>
      <c r="D20" s="82"/>
      <c r="E20" s="82"/>
      <c r="F20" s="82"/>
      <c r="G20" s="82"/>
      <c r="H20" s="122"/>
      <c r="I20" s="122"/>
      <c r="J20" s="122"/>
      <c r="K20" s="112"/>
      <c r="L20" s="122"/>
      <c r="M20" s="122"/>
      <c r="N20" s="122"/>
      <c r="O20" s="122"/>
      <c r="P20" s="122"/>
      <c r="Q20" s="122"/>
      <c r="R20" s="122"/>
      <c r="S20" s="11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45"/>
    </row>
    <row r="21" spans="1:33" ht="23.25">
      <c r="A21" s="8" t="s">
        <v>6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45"/>
    </row>
    <row r="22" spans="1:33" ht="23.25">
      <c r="A22" s="8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45"/>
    </row>
    <row r="23" spans="1:33" ht="23.25">
      <c r="A23" s="8" t="s">
        <v>7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45"/>
    </row>
    <row r="24" spans="1:33" ht="23.25">
      <c r="A24" s="8"/>
      <c r="B24" s="134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05" t="s">
        <v>29</v>
      </c>
    </row>
    <row r="25" spans="1:33" ht="23.25">
      <c r="A25" s="8"/>
      <c r="B25" s="83">
        <f>SUM(B15:B23)</f>
        <v>0</v>
      </c>
      <c r="C25" s="83">
        <f aca="true" t="shared" si="1" ref="C25:AF25">SUM(C15:C23)</f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83">
        <f t="shared" si="1"/>
        <v>0</v>
      </c>
      <c r="AG25" s="35">
        <f>AVERAGE(B25:AF25)</f>
        <v>0</v>
      </c>
    </row>
    <row r="26" spans="1:33" ht="23.25">
      <c r="A26" s="8"/>
      <c r="B26" s="128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45"/>
    </row>
    <row r="27" spans="1:33" ht="23.25">
      <c r="A27" s="16" t="s">
        <v>8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45"/>
    </row>
    <row r="28" spans="1:33" ht="23.25">
      <c r="A28" s="14" t="s">
        <v>9</v>
      </c>
      <c r="B28" s="12"/>
      <c r="C28" s="12"/>
      <c r="D28" s="12"/>
      <c r="E28" s="12"/>
      <c r="F28" s="12"/>
      <c r="G28" s="12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45"/>
    </row>
    <row r="29" spans="1:33" ht="23.25">
      <c r="A29" s="18" t="s">
        <v>28</v>
      </c>
      <c r="B29" s="129"/>
      <c r="C29" s="129"/>
      <c r="D29" s="129"/>
      <c r="E29" s="129"/>
      <c r="F29" s="129"/>
      <c r="G29" s="129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45"/>
    </row>
    <row r="30" spans="1:33" ht="23.25">
      <c r="A30" s="14" t="s">
        <v>10</v>
      </c>
      <c r="B30" s="129"/>
      <c r="C30" s="129"/>
      <c r="D30" s="129"/>
      <c r="E30" s="129"/>
      <c r="F30" s="129"/>
      <c r="G30" s="129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45"/>
    </row>
    <row r="31" spans="1:33" ht="23.25">
      <c r="A31" s="14" t="s">
        <v>25</v>
      </c>
      <c r="B31" s="130"/>
      <c r="C31" s="130"/>
      <c r="D31" s="130"/>
      <c r="E31" s="130"/>
      <c r="F31" s="130"/>
      <c r="G31" s="130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45"/>
    </row>
    <row r="32" spans="1:33" ht="23.25">
      <c r="A32" s="14" t="s">
        <v>24</v>
      </c>
      <c r="B32" s="132"/>
      <c r="C32" s="132"/>
      <c r="D32" s="132"/>
      <c r="E32" s="132"/>
      <c r="F32" s="132"/>
      <c r="G32" s="13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45"/>
    </row>
    <row r="33" spans="1:33" ht="23.25">
      <c r="A33" s="14" t="s">
        <v>26</v>
      </c>
      <c r="B33" s="130"/>
      <c r="C33" s="130"/>
      <c r="D33" s="130"/>
      <c r="E33" s="130"/>
      <c r="F33" s="130"/>
      <c r="G33" s="130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45"/>
    </row>
    <row r="34" spans="1:33" ht="23.25">
      <c r="A34" s="14" t="s">
        <v>27</v>
      </c>
      <c r="B34" s="130"/>
      <c r="C34" s="130"/>
      <c r="D34" s="130"/>
      <c r="E34" s="130"/>
      <c r="F34" s="130"/>
      <c r="G34" s="130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45"/>
    </row>
    <row r="35" spans="1:33" ht="23.25">
      <c r="A35" s="14" t="s">
        <v>18</v>
      </c>
      <c r="B35" s="130"/>
      <c r="C35" s="130"/>
      <c r="D35" s="130"/>
      <c r="E35" s="130"/>
      <c r="F35" s="130"/>
      <c r="G35" s="130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45"/>
    </row>
    <row r="36" spans="1:33" ht="23.25">
      <c r="A36" s="14" t="s">
        <v>5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33"/>
      <c r="Z36" s="133"/>
      <c r="AA36" s="133"/>
      <c r="AB36" s="133"/>
      <c r="AC36" s="133"/>
      <c r="AD36" s="133"/>
      <c r="AE36" s="133"/>
      <c r="AF36" s="133"/>
      <c r="AG36" s="45"/>
    </row>
    <row r="37" spans="1:33" ht="23.25">
      <c r="A37" s="14" t="s">
        <v>11</v>
      </c>
      <c r="B37" s="116"/>
      <c r="C37" s="116"/>
      <c r="D37" s="116"/>
      <c r="E37" s="116"/>
      <c r="F37" s="116"/>
      <c r="G37" s="116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45"/>
    </row>
    <row r="38" spans="1:33" ht="23.25">
      <c r="A38" s="14" t="s">
        <v>7</v>
      </c>
      <c r="B38" s="116"/>
      <c r="C38" s="116"/>
      <c r="D38" s="116"/>
      <c r="E38" s="116"/>
      <c r="F38" s="116"/>
      <c r="G38" s="116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45"/>
    </row>
    <row r="39" spans="1:33" ht="23.25">
      <c r="A39" s="14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05" t="s">
        <v>29</v>
      </c>
    </row>
    <row r="40" spans="1:33" ht="23.25">
      <c r="A40" s="8"/>
      <c r="B40" s="83">
        <f>SUM(B28+B29+B30+B35+B36+B37+B38)</f>
        <v>0</v>
      </c>
      <c r="C40" s="83">
        <f aca="true" t="shared" si="2" ref="C40:AF40">SUM(C28+C29+C30+C35+C36+C37+C38)</f>
        <v>0</v>
      </c>
      <c r="D40" s="83">
        <f t="shared" si="2"/>
        <v>0</v>
      </c>
      <c r="E40" s="83">
        <f t="shared" si="2"/>
        <v>0</v>
      </c>
      <c r="F40" s="83">
        <f t="shared" si="2"/>
        <v>0</v>
      </c>
      <c r="G40" s="83">
        <f t="shared" si="2"/>
        <v>0</v>
      </c>
      <c r="H40" s="83">
        <f t="shared" si="2"/>
        <v>0</v>
      </c>
      <c r="I40" s="83">
        <f t="shared" si="2"/>
        <v>0</v>
      </c>
      <c r="J40" s="83">
        <f t="shared" si="2"/>
        <v>0</v>
      </c>
      <c r="K40" s="83">
        <f t="shared" si="2"/>
        <v>0</v>
      </c>
      <c r="L40" s="83">
        <f t="shared" si="2"/>
        <v>0</v>
      </c>
      <c r="M40" s="83">
        <f t="shared" si="2"/>
        <v>0</v>
      </c>
      <c r="N40" s="83">
        <f t="shared" si="2"/>
        <v>0</v>
      </c>
      <c r="O40" s="83">
        <f t="shared" si="2"/>
        <v>0</v>
      </c>
      <c r="P40" s="83">
        <f t="shared" si="2"/>
        <v>0</v>
      </c>
      <c r="Q40" s="83">
        <f t="shared" si="2"/>
        <v>0</v>
      </c>
      <c r="R40" s="83">
        <f t="shared" si="2"/>
        <v>0</v>
      </c>
      <c r="S40" s="83">
        <f t="shared" si="2"/>
        <v>0</v>
      </c>
      <c r="T40" s="83">
        <f t="shared" si="2"/>
        <v>0</v>
      </c>
      <c r="U40" s="83">
        <f t="shared" si="2"/>
        <v>0</v>
      </c>
      <c r="V40" s="83">
        <f t="shared" si="2"/>
        <v>0</v>
      </c>
      <c r="W40" s="83">
        <f t="shared" si="2"/>
        <v>0</v>
      </c>
      <c r="X40" s="83">
        <f t="shared" si="2"/>
        <v>0</v>
      </c>
      <c r="Y40" s="83">
        <f t="shared" si="2"/>
        <v>0</v>
      </c>
      <c r="Z40" s="83">
        <f t="shared" si="2"/>
        <v>0</v>
      </c>
      <c r="AA40" s="83">
        <f t="shared" si="2"/>
        <v>0</v>
      </c>
      <c r="AB40" s="83">
        <f t="shared" si="2"/>
        <v>0</v>
      </c>
      <c r="AC40" s="83">
        <f t="shared" si="2"/>
        <v>0</v>
      </c>
      <c r="AD40" s="83">
        <f t="shared" si="2"/>
        <v>0</v>
      </c>
      <c r="AE40" s="83">
        <f t="shared" si="2"/>
        <v>0</v>
      </c>
      <c r="AF40" s="83">
        <f t="shared" si="2"/>
        <v>0</v>
      </c>
      <c r="AG40" s="35">
        <f>AVERAGE(B40:AF40)</f>
        <v>0</v>
      </c>
    </row>
    <row r="41" spans="1:33" ht="23.25">
      <c r="A41" s="8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45"/>
    </row>
    <row r="42" spans="1:33" ht="23.25">
      <c r="A42" s="9" t="s">
        <v>12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45"/>
    </row>
    <row r="43" spans="1:33" ht="23.25">
      <c r="A43" s="8" t="s">
        <v>13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45"/>
    </row>
    <row r="44" spans="1:33" ht="23.25">
      <c r="A44" s="8" t="s">
        <v>31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45"/>
    </row>
    <row r="45" spans="1:33" ht="23.25">
      <c r="A45" s="8" t="s">
        <v>4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45"/>
    </row>
    <row r="46" spans="1:33" ht="23.25">
      <c r="A46" s="8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45"/>
    </row>
    <row r="47" spans="1:33" ht="23.25">
      <c r="A47" s="8" t="s">
        <v>14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45"/>
    </row>
    <row r="48" spans="1:33" ht="23.25">
      <c r="A48" s="8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45"/>
    </row>
    <row r="49" spans="1:33" ht="23.25">
      <c r="A49" s="8" t="s">
        <v>11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45"/>
    </row>
    <row r="50" spans="1:33" ht="23.25">
      <c r="A50" s="8"/>
      <c r="B50" s="135"/>
      <c r="C50" s="135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05" t="s">
        <v>29</v>
      </c>
    </row>
    <row r="51" spans="1:33" ht="23.25">
      <c r="A51" s="9"/>
      <c r="B51" s="83">
        <v>0</v>
      </c>
      <c r="C51" s="83">
        <f aca="true" t="shared" si="3" ref="C51:AF51">SUM(C43:C49)</f>
        <v>0</v>
      </c>
      <c r="D51" s="83">
        <f t="shared" si="3"/>
        <v>0</v>
      </c>
      <c r="E51" s="83">
        <f t="shared" si="3"/>
        <v>0</v>
      </c>
      <c r="F51" s="83">
        <f t="shared" si="3"/>
        <v>0</v>
      </c>
      <c r="G51" s="83">
        <f t="shared" si="3"/>
        <v>0</v>
      </c>
      <c r="H51" s="83">
        <f t="shared" si="3"/>
        <v>0</v>
      </c>
      <c r="I51" s="83">
        <f t="shared" si="3"/>
        <v>0</v>
      </c>
      <c r="J51" s="83">
        <f t="shared" si="3"/>
        <v>0</v>
      </c>
      <c r="K51" s="83">
        <f t="shared" si="3"/>
        <v>0</v>
      </c>
      <c r="L51" s="83">
        <f t="shared" si="3"/>
        <v>0</v>
      </c>
      <c r="M51" s="83">
        <f t="shared" si="3"/>
        <v>0</v>
      </c>
      <c r="N51" s="83">
        <f t="shared" si="3"/>
        <v>0</v>
      </c>
      <c r="O51" s="83">
        <f t="shared" si="3"/>
        <v>0</v>
      </c>
      <c r="P51" s="83">
        <f t="shared" si="3"/>
        <v>0</v>
      </c>
      <c r="Q51" s="83">
        <f t="shared" si="3"/>
        <v>0</v>
      </c>
      <c r="R51" s="83">
        <f t="shared" si="3"/>
        <v>0</v>
      </c>
      <c r="S51" s="83">
        <f t="shared" si="3"/>
        <v>0</v>
      </c>
      <c r="T51" s="83">
        <f t="shared" si="3"/>
        <v>0</v>
      </c>
      <c r="U51" s="83">
        <f t="shared" si="3"/>
        <v>0</v>
      </c>
      <c r="V51" s="83">
        <f t="shared" si="3"/>
        <v>0</v>
      </c>
      <c r="W51" s="83">
        <f t="shared" si="3"/>
        <v>0</v>
      </c>
      <c r="X51" s="83">
        <f t="shared" si="3"/>
        <v>0</v>
      </c>
      <c r="Y51" s="83">
        <f t="shared" si="3"/>
        <v>0</v>
      </c>
      <c r="Z51" s="83">
        <f t="shared" si="3"/>
        <v>0</v>
      </c>
      <c r="AA51" s="83">
        <f t="shared" si="3"/>
        <v>0</v>
      </c>
      <c r="AB51" s="83">
        <f t="shared" si="3"/>
        <v>0</v>
      </c>
      <c r="AC51" s="83">
        <f t="shared" si="3"/>
        <v>0</v>
      </c>
      <c r="AD51" s="83">
        <f t="shared" si="3"/>
        <v>0</v>
      </c>
      <c r="AE51" s="83">
        <f t="shared" si="3"/>
        <v>0</v>
      </c>
      <c r="AF51" s="83">
        <f t="shared" si="3"/>
        <v>0</v>
      </c>
      <c r="AG51" s="35">
        <f>AVERAGE(B51:AF51)</f>
        <v>0</v>
      </c>
    </row>
    <row r="52" spans="1:33" ht="23.25">
      <c r="A52" s="9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45"/>
    </row>
    <row r="53" spans="1:33" ht="23.25">
      <c r="A53" s="9" t="s">
        <v>15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40" t="s">
        <v>29</v>
      </c>
    </row>
    <row r="54" spans="1:33" ht="23.25">
      <c r="A54" s="8" t="s">
        <v>4</v>
      </c>
      <c r="B54" s="136"/>
      <c r="C54" s="136"/>
      <c r="D54" s="136"/>
      <c r="E54" s="136"/>
      <c r="F54" s="136"/>
      <c r="G54" s="136"/>
      <c r="H54" s="136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35" t="e">
        <f>AVERAGE(B54:AF54)</f>
        <v>#DIV/0!</v>
      </c>
    </row>
    <row r="55" spans="1:33" ht="23.25">
      <c r="A55" s="8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45"/>
    </row>
    <row r="56" spans="1:33" ht="23.25">
      <c r="A56" s="8" t="s">
        <v>16</v>
      </c>
      <c r="B56" s="77">
        <f>SUM(B54,B51,B40,B25,B12)</f>
        <v>0</v>
      </c>
      <c r="C56" s="77">
        <f aca="true" t="shared" si="4" ref="C56:AF56">SUM(C54,C51,C40,C25,C12)</f>
        <v>0</v>
      </c>
      <c r="D56" s="77">
        <f t="shared" si="4"/>
        <v>0</v>
      </c>
      <c r="E56" s="77">
        <f t="shared" si="4"/>
        <v>0</v>
      </c>
      <c r="F56" s="77">
        <f t="shared" si="4"/>
        <v>0</v>
      </c>
      <c r="G56" s="77">
        <f t="shared" si="4"/>
        <v>0</v>
      </c>
      <c r="H56" s="77">
        <f t="shared" si="4"/>
        <v>0</v>
      </c>
      <c r="I56" s="77">
        <f t="shared" si="4"/>
        <v>0</v>
      </c>
      <c r="J56" s="77">
        <f t="shared" si="4"/>
        <v>0</v>
      </c>
      <c r="K56" s="77">
        <f t="shared" si="4"/>
        <v>0</v>
      </c>
      <c r="L56" s="77">
        <f t="shared" si="4"/>
        <v>0</v>
      </c>
      <c r="M56" s="77">
        <f t="shared" si="4"/>
        <v>0</v>
      </c>
      <c r="N56" s="77">
        <f t="shared" si="4"/>
        <v>0</v>
      </c>
      <c r="O56" s="77">
        <f t="shared" si="4"/>
        <v>0</v>
      </c>
      <c r="P56" s="77">
        <f t="shared" si="4"/>
        <v>0</v>
      </c>
      <c r="Q56" s="77">
        <f t="shared" si="4"/>
        <v>0</v>
      </c>
      <c r="R56" s="77">
        <f t="shared" si="4"/>
        <v>0</v>
      </c>
      <c r="S56" s="77">
        <f t="shared" si="4"/>
        <v>0</v>
      </c>
      <c r="T56" s="77">
        <f t="shared" si="4"/>
        <v>0</v>
      </c>
      <c r="U56" s="77">
        <f t="shared" si="4"/>
        <v>0</v>
      </c>
      <c r="V56" s="77">
        <f t="shared" si="4"/>
        <v>0</v>
      </c>
      <c r="W56" s="77">
        <f t="shared" si="4"/>
        <v>0</v>
      </c>
      <c r="X56" s="77">
        <f t="shared" si="4"/>
        <v>0</v>
      </c>
      <c r="Y56" s="77">
        <f t="shared" si="4"/>
        <v>0</v>
      </c>
      <c r="Z56" s="77">
        <f t="shared" si="4"/>
        <v>0</v>
      </c>
      <c r="AA56" s="77">
        <f t="shared" si="4"/>
        <v>0</v>
      </c>
      <c r="AB56" s="77">
        <f t="shared" si="4"/>
        <v>0</v>
      </c>
      <c r="AC56" s="77">
        <f t="shared" si="4"/>
        <v>0</v>
      </c>
      <c r="AD56" s="77">
        <f t="shared" si="4"/>
        <v>0</v>
      </c>
      <c r="AE56" s="77">
        <f t="shared" si="4"/>
        <v>0</v>
      </c>
      <c r="AF56" s="77">
        <f t="shared" si="4"/>
        <v>0</v>
      </c>
      <c r="AG56" s="40">
        <f>AVERAGE(B56:AF56)</f>
        <v>0</v>
      </c>
    </row>
    <row r="57" spans="1:33" ht="23.25">
      <c r="A57" s="8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40"/>
    </row>
    <row r="58" spans="1:33" ht="23.25">
      <c r="A58" s="8" t="s">
        <v>17</v>
      </c>
      <c r="B58" s="113">
        <f aca="true" t="shared" si="5" ref="B58:AF58">-SUM(B21+B23+B37+B38+B47+B49)</f>
        <v>0</v>
      </c>
      <c r="C58" s="113">
        <f t="shared" si="5"/>
        <v>0</v>
      </c>
      <c r="D58" s="113">
        <f t="shared" si="5"/>
        <v>0</v>
      </c>
      <c r="E58" s="113">
        <f t="shared" si="5"/>
        <v>0</v>
      </c>
      <c r="F58" s="113">
        <f t="shared" si="5"/>
        <v>0</v>
      </c>
      <c r="G58" s="113">
        <f t="shared" si="5"/>
        <v>0</v>
      </c>
      <c r="H58" s="113">
        <f t="shared" si="5"/>
        <v>0</v>
      </c>
      <c r="I58" s="113">
        <f t="shared" si="5"/>
        <v>0</v>
      </c>
      <c r="J58" s="113">
        <f t="shared" si="5"/>
        <v>0</v>
      </c>
      <c r="K58" s="113">
        <f t="shared" si="5"/>
        <v>0</v>
      </c>
      <c r="L58" s="113">
        <f t="shared" si="5"/>
        <v>0</v>
      </c>
      <c r="M58" s="113">
        <f t="shared" si="5"/>
        <v>0</v>
      </c>
      <c r="N58" s="113">
        <f t="shared" si="5"/>
        <v>0</v>
      </c>
      <c r="O58" s="113">
        <f t="shared" si="5"/>
        <v>0</v>
      </c>
      <c r="P58" s="113">
        <f t="shared" si="5"/>
        <v>0</v>
      </c>
      <c r="Q58" s="113">
        <f t="shared" si="5"/>
        <v>0</v>
      </c>
      <c r="R58" s="113">
        <f t="shared" si="5"/>
        <v>0</v>
      </c>
      <c r="S58" s="113">
        <f t="shared" si="5"/>
        <v>0</v>
      </c>
      <c r="T58" s="113">
        <f t="shared" si="5"/>
        <v>0</v>
      </c>
      <c r="U58" s="113">
        <f t="shared" si="5"/>
        <v>0</v>
      </c>
      <c r="V58" s="113">
        <f t="shared" si="5"/>
        <v>0</v>
      </c>
      <c r="W58" s="113">
        <f t="shared" si="5"/>
        <v>0</v>
      </c>
      <c r="X58" s="113">
        <f t="shared" si="5"/>
        <v>0</v>
      </c>
      <c r="Y58" s="113">
        <f t="shared" si="5"/>
        <v>0</v>
      </c>
      <c r="Z58" s="113">
        <f t="shared" si="5"/>
        <v>0</v>
      </c>
      <c r="AA58" s="113">
        <f t="shared" si="5"/>
        <v>0</v>
      </c>
      <c r="AB58" s="113">
        <f t="shared" si="5"/>
        <v>0</v>
      </c>
      <c r="AC58" s="113">
        <f t="shared" si="5"/>
        <v>0</v>
      </c>
      <c r="AD58" s="113">
        <f t="shared" si="5"/>
        <v>0</v>
      </c>
      <c r="AE58" s="113">
        <f t="shared" si="5"/>
        <v>0</v>
      </c>
      <c r="AF58" s="113">
        <f t="shared" si="5"/>
        <v>0</v>
      </c>
      <c r="AG58" s="45"/>
    </row>
    <row r="59" spans="1:33" ht="23.25">
      <c r="A59" s="8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05" t="s">
        <v>29</v>
      </c>
    </row>
    <row r="60" spans="1:33" ht="24" thickBot="1">
      <c r="A60" s="9" t="s">
        <v>22</v>
      </c>
      <c r="B60" s="78">
        <f>B56-B58</f>
        <v>0</v>
      </c>
      <c r="C60" s="78">
        <f aca="true" t="shared" si="6" ref="C60:AF60">C56-C58</f>
        <v>0</v>
      </c>
      <c r="D60" s="78">
        <f t="shared" si="6"/>
        <v>0</v>
      </c>
      <c r="E60" s="78">
        <f t="shared" si="6"/>
        <v>0</v>
      </c>
      <c r="F60" s="78">
        <f t="shared" si="6"/>
        <v>0</v>
      </c>
      <c r="G60" s="78">
        <f t="shared" si="6"/>
        <v>0</v>
      </c>
      <c r="H60" s="78">
        <f t="shared" si="6"/>
        <v>0</v>
      </c>
      <c r="I60" s="78">
        <f t="shared" si="6"/>
        <v>0</v>
      </c>
      <c r="J60" s="78">
        <f t="shared" si="6"/>
        <v>0</v>
      </c>
      <c r="K60" s="78">
        <f t="shared" si="6"/>
        <v>0</v>
      </c>
      <c r="L60" s="78">
        <f t="shared" si="6"/>
        <v>0</v>
      </c>
      <c r="M60" s="78">
        <f t="shared" si="6"/>
        <v>0</v>
      </c>
      <c r="N60" s="78">
        <f t="shared" si="6"/>
        <v>0</v>
      </c>
      <c r="O60" s="78">
        <f t="shared" si="6"/>
        <v>0</v>
      </c>
      <c r="P60" s="78">
        <f t="shared" si="6"/>
        <v>0</v>
      </c>
      <c r="Q60" s="78">
        <f t="shared" si="6"/>
        <v>0</v>
      </c>
      <c r="R60" s="78">
        <f t="shared" si="6"/>
        <v>0</v>
      </c>
      <c r="S60" s="78">
        <f t="shared" si="6"/>
        <v>0</v>
      </c>
      <c r="T60" s="78">
        <f t="shared" si="6"/>
        <v>0</v>
      </c>
      <c r="U60" s="78">
        <f t="shared" si="6"/>
        <v>0</v>
      </c>
      <c r="V60" s="78">
        <f t="shared" si="6"/>
        <v>0</v>
      </c>
      <c r="W60" s="78">
        <f t="shared" si="6"/>
        <v>0</v>
      </c>
      <c r="X60" s="78">
        <f t="shared" si="6"/>
        <v>0</v>
      </c>
      <c r="Y60" s="78">
        <f t="shared" si="6"/>
        <v>0</v>
      </c>
      <c r="Z60" s="78">
        <f t="shared" si="6"/>
        <v>0</v>
      </c>
      <c r="AA60" s="78">
        <f t="shared" si="6"/>
        <v>0</v>
      </c>
      <c r="AB60" s="78">
        <f t="shared" si="6"/>
        <v>0</v>
      </c>
      <c r="AC60" s="78">
        <f t="shared" si="6"/>
        <v>0</v>
      </c>
      <c r="AD60" s="78">
        <f t="shared" si="6"/>
        <v>0</v>
      </c>
      <c r="AE60" s="78">
        <f t="shared" si="6"/>
        <v>0</v>
      </c>
      <c r="AF60" s="78">
        <f t="shared" si="6"/>
        <v>0</v>
      </c>
      <c r="AG60" s="41">
        <f>AVERAGE(B60:AF60)</f>
        <v>0</v>
      </c>
    </row>
    <row r="61" spans="1:33" ht="23.25">
      <c r="A61" s="9"/>
      <c r="B61" s="22"/>
      <c r="C61" s="25"/>
      <c r="D61" s="25"/>
      <c r="E61" s="25"/>
      <c r="F61" s="25"/>
      <c r="G61" s="25"/>
      <c r="H61" s="18"/>
      <c r="I61" s="12"/>
      <c r="J61" s="12"/>
      <c r="K61" s="12"/>
      <c r="L61" s="12"/>
      <c r="M61" s="12"/>
      <c r="N61" s="12"/>
      <c r="O61" s="12"/>
      <c r="P61" s="12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44"/>
    </row>
    <row r="62" spans="1:33" ht="23.25">
      <c r="A62" s="8" t="s">
        <v>32</v>
      </c>
      <c r="B62" s="14"/>
      <c r="C62" s="14"/>
      <c r="D62" s="14"/>
      <c r="E62" s="14"/>
      <c r="F62" s="14"/>
      <c r="G62" s="14"/>
      <c r="H62" s="14"/>
      <c r="I62" s="17"/>
      <c r="J62" s="17"/>
      <c r="K62" s="17"/>
      <c r="L62" s="17"/>
      <c r="M62" s="17"/>
      <c r="N62" s="17"/>
      <c r="O62" s="17"/>
      <c r="P62" s="17"/>
      <c r="Q62" s="18"/>
      <c r="R62" s="18"/>
      <c r="S62" s="14"/>
      <c r="T62" s="14"/>
      <c r="U62" s="14"/>
      <c r="V62" s="14"/>
      <c r="W62" s="14"/>
      <c r="X62" s="14"/>
      <c r="Y62" s="14"/>
      <c r="Z62" s="17"/>
      <c r="AA62" s="17"/>
      <c r="AB62" s="17"/>
      <c r="AC62" s="17"/>
      <c r="AD62" s="17"/>
      <c r="AE62" s="17"/>
      <c r="AF62" s="17"/>
      <c r="AG62" s="47"/>
    </row>
    <row r="63" spans="2:33" ht="23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3"/>
  <sheetViews>
    <sheetView zoomScale="55" zoomScaleNormal="5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54" sqref="A54"/>
    </sheetView>
  </sheetViews>
  <sheetFormatPr defaultColWidth="8.88671875" defaultRowHeight="24" customHeight="1"/>
  <cols>
    <col min="1" max="1" width="32.6640625" style="15" customWidth="1"/>
    <col min="2" max="30" width="9.77734375" style="15" customWidth="1"/>
    <col min="31" max="31" width="10.77734375" style="37" customWidth="1"/>
    <col min="32" max="16384" width="8.88671875" style="15" customWidth="1"/>
  </cols>
  <sheetData>
    <row r="1" spans="1:32" ht="24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03"/>
      <c r="AF1" s="2"/>
    </row>
    <row r="2" spans="1:32" ht="24" customHeight="1">
      <c r="A2" s="1">
        <v>41306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103"/>
      <c r="AF2" s="2"/>
    </row>
    <row r="3" spans="1:32" ht="24" customHeight="1">
      <c r="A3" s="3" t="s">
        <v>21</v>
      </c>
      <c r="Z3" s="4"/>
      <c r="AA3" s="3"/>
      <c r="AB3" s="4"/>
      <c r="AC3" s="4"/>
      <c r="AD3" s="4"/>
      <c r="AE3" s="38"/>
      <c r="AF3" s="2"/>
    </row>
    <row r="4" spans="1:32" ht="24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30"/>
      <c r="AF4" s="7"/>
    </row>
    <row r="5" spans="1:32" ht="24" customHeight="1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31"/>
      <c r="AF5" s="2"/>
    </row>
    <row r="6" spans="1:32" ht="24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32"/>
      <c r="AF6" s="3"/>
    </row>
    <row r="7" spans="1:32" ht="24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32"/>
      <c r="AF7" s="5"/>
    </row>
    <row r="8" spans="1:32" ht="24" customHeight="1">
      <c r="A8" s="8" t="s">
        <v>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"/>
      <c r="AB8" s="11"/>
      <c r="AC8" s="11"/>
      <c r="AD8" s="11"/>
      <c r="AE8" s="33"/>
      <c r="AF8" s="6"/>
    </row>
    <row r="9" spans="1:31" ht="24" customHeight="1">
      <c r="A9" s="8"/>
      <c r="B9" s="75"/>
      <c r="C9" s="75"/>
      <c r="D9" s="75"/>
      <c r="E9" s="75"/>
      <c r="F9" s="75"/>
      <c r="G9" s="75"/>
      <c r="H9" s="75"/>
      <c r="I9" s="75"/>
      <c r="J9" s="75"/>
      <c r="K9" s="76"/>
      <c r="L9" s="75"/>
      <c r="M9" s="75"/>
      <c r="N9" s="75"/>
      <c r="O9" s="75"/>
      <c r="P9" s="75"/>
      <c r="Q9" s="75"/>
      <c r="R9" s="75"/>
      <c r="S9" s="76"/>
      <c r="T9" s="75"/>
      <c r="U9" s="75"/>
      <c r="V9" s="75"/>
      <c r="W9" s="75"/>
      <c r="X9" s="75"/>
      <c r="Y9" s="75"/>
      <c r="Z9" s="11"/>
      <c r="AA9" s="11"/>
      <c r="AB9" s="11"/>
      <c r="AC9" s="11"/>
      <c r="AD9" s="11"/>
      <c r="AE9" s="33"/>
    </row>
    <row r="10" spans="1:31" ht="24" customHeight="1">
      <c r="A10" s="8" t="s">
        <v>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11"/>
      <c r="AA10" s="11"/>
      <c r="AB10" s="11"/>
      <c r="AC10" s="11"/>
      <c r="AD10" s="11"/>
      <c r="AE10" s="40"/>
    </row>
    <row r="11" spans="1:32" ht="24" customHeight="1">
      <c r="A11" s="8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5" t="s">
        <v>29</v>
      </c>
      <c r="AF11" s="9"/>
    </row>
    <row r="12" spans="1:31" ht="24" customHeight="1">
      <c r="A12" s="8"/>
      <c r="B12" s="83">
        <f aca="true" t="shared" si="0" ref="B12:AD12">SUM(B8:B10)</f>
        <v>0</v>
      </c>
      <c r="C12" s="83">
        <f t="shared" si="0"/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35">
        <f>AVERAGE(B12:AC12)</f>
        <v>0</v>
      </c>
    </row>
    <row r="13" spans="1:31" ht="24" customHeight="1">
      <c r="A13" s="9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40"/>
    </row>
    <row r="14" spans="1:31" ht="24" customHeight="1">
      <c r="A14" s="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9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40"/>
    </row>
    <row r="15" spans="1:31" ht="24" customHeight="1">
      <c r="A15" s="8" t="s">
        <v>19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1"/>
      <c r="AA15" s="81"/>
      <c r="AB15" s="81"/>
      <c r="AC15" s="81"/>
      <c r="AD15" s="81"/>
      <c r="AE15" s="40"/>
    </row>
    <row r="16" spans="1:31" ht="24" customHeight="1">
      <c r="A16" s="8"/>
      <c r="B16" s="82"/>
      <c r="C16" s="82"/>
      <c r="D16" s="82"/>
      <c r="E16" s="82"/>
      <c r="F16" s="82"/>
      <c r="G16" s="82"/>
      <c r="H16" s="82"/>
      <c r="I16" s="82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1"/>
      <c r="AA16" s="81"/>
      <c r="AB16" s="81"/>
      <c r="AC16" s="81"/>
      <c r="AD16" s="81"/>
      <c r="AE16" s="40"/>
    </row>
    <row r="17" spans="1:31" ht="24" customHeight="1">
      <c r="A17" s="7" t="s">
        <v>28</v>
      </c>
      <c r="B17" s="82"/>
      <c r="C17" s="82"/>
      <c r="D17" s="82"/>
      <c r="E17" s="82"/>
      <c r="F17" s="82"/>
      <c r="G17" s="82"/>
      <c r="H17" s="82"/>
      <c r="I17" s="82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1"/>
      <c r="AA17" s="81"/>
      <c r="AB17" s="81"/>
      <c r="AC17" s="81"/>
      <c r="AD17" s="81"/>
      <c r="AE17" s="40"/>
    </row>
    <row r="18" spans="1:31" ht="24" customHeight="1">
      <c r="A18" s="8"/>
      <c r="B18" s="82"/>
      <c r="C18" s="82"/>
      <c r="D18" s="82"/>
      <c r="E18" s="82"/>
      <c r="F18" s="82"/>
      <c r="G18" s="82"/>
      <c r="H18" s="82"/>
      <c r="I18" s="82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1"/>
      <c r="AA18" s="81"/>
      <c r="AB18" s="81"/>
      <c r="AC18" s="81"/>
      <c r="AD18" s="81"/>
      <c r="AE18" s="40"/>
    </row>
    <row r="19" spans="1:31" ht="24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  <c r="AA19" s="81"/>
      <c r="AB19" s="81"/>
      <c r="AC19" s="81"/>
      <c r="AD19" s="81"/>
      <c r="AE19" s="40"/>
    </row>
    <row r="20" spans="1:31" ht="24" customHeight="1">
      <c r="A20" s="8"/>
      <c r="B20" s="82"/>
      <c r="C20" s="82"/>
      <c r="D20" s="82"/>
      <c r="E20" s="82"/>
      <c r="F20" s="82"/>
      <c r="G20" s="82"/>
      <c r="H20" s="82"/>
      <c r="I20" s="82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1"/>
      <c r="AA20" s="81"/>
      <c r="AB20" s="81"/>
      <c r="AC20" s="81"/>
      <c r="AD20" s="81"/>
      <c r="AE20" s="40"/>
    </row>
    <row r="21" spans="1:31" ht="24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1"/>
      <c r="AA21" s="81"/>
      <c r="AB21" s="81"/>
      <c r="AC21" s="81"/>
      <c r="AD21" s="81"/>
      <c r="AE21" s="40"/>
    </row>
    <row r="22" spans="1:31" ht="24" customHeight="1">
      <c r="A22" s="8"/>
      <c r="B22" s="82"/>
      <c r="C22" s="82"/>
      <c r="D22" s="82"/>
      <c r="E22" s="82"/>
      <c r="F22" s="82"/>
      <c r="G22" s="82"/>
      <c r="H22" s="82"/>
      <c r="I22" s="82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1"/>
      <c r="AA22" s="81"/>
      <c r="AB22" s="81"/>
      <c r="AC22" s="81"/>
      <c r="AD22" s="81"/>
      <c r="AE22" s="40"/>
    </row>
    <row r="23" spans="1:31" ht="24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  <c r="AA23" s="81"/>
      <c r="AB23" s="81"/>
      <c r="AC23" s="81"/>
      <c r="AD23" s="81"/>
      <c r="AE23" s="40"/>
    </row>
    <row r="24" spans="1:32" ht="24" customHeight="1">
      <c r="A24" s="8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5" t="s">
        <v>29</v>
      </c>
      <c r="AF24" s="9"/>
    </row>
    <row r="25" spans="1:31" ht="24" customHeight="1">
      <c r="A25" s="8"/>
      <c r="B25" s="83">
        <f aca="true" t="shared" si="1" ref="B25:AD25">SUM(B15:B24)</f>
        <v>0</v>
      </c>
      <c r="C25" s="83">
        <f t="shared" si="1"/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35">
        <f>AVERAGE(B25:AC25)</f>
        <v>0</v>
      </c>
    </row>
    <row r="26" spans="1:31" ht="24" customHeight="1">
      <c r="A26" s="16" t="s">
        <v>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40"/>
    </row>
    <row r="27" spans="1:31" ht="24" customHeight="1">
      <c r="A27" s="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40"/>
    </row>
    <row r="28" spans="1:31" ht="24" customHeight="1">
      <c r="A28" s="14" t="s">
        <v>9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22"/>
      <c r="AB28" s="22"/>
      <c r="AC28" s="22"/>
      <c r="AD28" s="22"/>
      <c r="AE28" s="40"/>
    </row>
    <row r="29" spans="1:31" ht="24" customHeight="1">
      <c r="A29" s="14" t="s">
        <v>10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22"/>
      <c r="AB29" s="22"/>
      <c r="AC29" s="22"/>
      <c r="AD29" s="22"/>
      <c r="AE29" s="40"/>
    </row>
    <row r="30" spans="1:31" ht="24" customHeight="1">
      <c r="A30" s="14" t="s">
        <v>25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5"/>
      <c r="AB30" s="85"/>
      <c r="AC30" s="85"/>
      <c r="AD30" s="85"/>
      <c r="AE30" s="40"/>
    </row>
    <row r="31" spans="1:31" ht="24" customHeight="1">
      <c r="A31" s="14" t="s">
        <v>24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6"/>
      <c r="AB31" s="86"/>
      <c r="AC31" s="86"/>
      <c r="AD31" s="86"/>
      <c r="AE31" s="40"/>
    </row>
    <row r="32" spans="1:31" ht="24" customHeight="1">
      <c r="A32" s="14" t="s">
        <v>26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6"/>
      <c r="AB32" s="86"/>
      <c r="AC32" s="86"/>
      <c r="AD32" s="86"/>
      <c r="AE32" s="40"/>
    </row>
    <row r="33" spans="1:31" ht="24" customHeight="1">
      <c r="A33" s="14" t="s">
        <v>27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6"/>
      <c r="AB33" s="86"/>
      <c r="AC33" s="86"/>
      <c r="AD33" s="86"/>
      <c r="AE33" s="40"/>
    </row>
    <row r="34" spans="1:32" ht="24" customHeight="1">
      <c r="A34" s="14" t="s">
        <v>18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22"/>
      <c r="AB34" s="22"/>
      <c r="AC34" s="22"/>
      <c r="AD34" s="22"/>
      <c r="AE34" s="40"/>
      <c r="AF34" s="9"/>
    </row>
    <row r="35" spans="1:31" ht="24" customHeight="1">
      <c r="A35" s="14" t="s">
        <v>5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87"/>
      <c r="AB35" s="87"/>
      <c r="AC35" s="87"/>
      <c r="AD35" s="87"/>
      <c r="AE35" s="40"/>
    </row>
    <row r="36" spans="1:31" ht="24" customHeight="1">
      <c r="A36" s="14" t="s">
        <v>11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22"/>
      <c r="AB36" s="22"/>
      <c r="AC36" s="22"/>
      <c r="AD36" s="22"/>
      <c r="AE36" s="40"/>
    </row>
    <row r="37" spans="1:31" ht="24" customHeight="1">
      <c r="A37" s="14" t="s">
        <v>7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23"/>
      <c r="AB37" s="23"/>
      <c r="AC37" s="23"/>
      <c r="AD37" s="26"/>
      <c r="AE37" s="40"/>
    </row>
    <row r="38" spans="1:31" ht="24" customHeight="1">
      <c r="A38" s="8"/>
      <c r="B38" s="76"/>
      <c r="C38" s="76"/>
      <c r="D38" s="77"/>
      <c r="E38" s="76"/>
      <c r="F38" s="77"/>
      <c r="G38" s="77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105" t="s">
        <v>29</v>
      </c>
    </row>
    <row r="39" spans="1:31" ht="24" customHeight="1">
      <c r="A39" s="8"/>
      <c r="B39" s="83">
        <f aca="true" t="shared" si="2" ref="B39:AD39">SUM(B28+B34+B35+B36+B37)</f>
        <v>0</v>
      </c>
      <c r="C39" s="83">
        <f t="shared" si="2"/>
        <v>0</v>
      </c>
      <c r="D39" s="83">
        <f t="shared" si="2"/>
        <v>0</v>
      </c>
      <c r="E39" s="83">
        <f t="shared" si="2"/>
        <v>0</v>
      </c>
      <c r="F39" s="83">
        <f t="shared" si="2"/>
        <v>0</v>
      </c>
      <c r="G39" s="83">
        <f t="shared" si="2"/>
        <v>0</v>
      </c>
      <c r="H39" s="83">
        <f t="shared" si="2"/>
        <v>0</v>
      </c>
      <c r="I39" s="83">
        <f t="shared" si="2"/>
        <v>0</v>
      </c>
      <c r="J39" s="83">
        <f t="shared" si="2"/>
        <v>0</v>
      </c>
      <c r="K39" s="83">
        <f t="shared" si="2"/>
        <v>0</v>
      </c>
      <c r="L39" s="83">
        <f t="shared" si="2"/>
        <v>0</v>
      </c>
      <c r="M39" s="83">
        <f t="shared" si="2"/>
        <v>0</v>
      </c>
      <c r="N39" s="83">
        <f t="shared" si="2"/>
        <v>0</v>
      </c>
      <c r="O39" s="83">
        <f t="shared" si="2"/>
        <v>0</v>
      </c>
      <c r="P39" s="83">
        <f t="shared" si="2"/>
        <v>0</v>
      </c>
      <c r="Q39" s="83">
        <f t="shared" si="2"/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35">
        <f>AVERAGE(B39:AC39)</f>
        <v>0</v>
      </c>
    </row>
    <row r="40" spans="1:31" ht="24" customHeight="1">
      <c r="A40" s="9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40"/>
    </row>
    <row r="41" spans="1:31" ht="24" customHeight="1">
      <c r="A41" s="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40"/>
    </row>
    <row r="42" spans="1:31" ht="24" customHeight="1">
      <c r="A42" s="8" t="s">
        <v>13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40"/>
    </row>
    <row r="43" spans="1:31" ht="24" customHeight="1">
      <c r="A43" s="8" t="s">
        <v>31</v>
      </c>
      <c r="B43" s="42"/>
      <c r="C43" s="42"/>
      <c r="D43" s="42"/>
      <c r="E43" s="42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76"/>
      <c r="AD43" s="76"/>
      <c r="AE43" s="40">
        <f>SUM(B43:AC43)</f>
        <v>0</v>
      </c>
    </row>
    <row r="44" spans="1:31" ht="24" customHeight="1">
      <c r="A44" s="8" t="s">
        <v>4</v>
      </c>
      <c r="B44" s="42"/>
      <c r="C44" s="42"/>
      <c r="D44" s="42"/>
      <c r="E44" s="42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6"/>
      <c r="AC44" s="76"/>
      <c r="AD44" s="76"/>
      <c r="AE44" s="40"/>
    </row>
    <row r="45" spans="1:31" ht="24" customHeight="1">
      <c r="A45" s="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40"/>
    </row>
    <row r="46" spans="1:31" ht="24" customHeight="1">
      <c r="A46" s="8" t="s">
        <v>14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40"/>
    </row>
    <row r="47" spans="1:31" ht="24" customHeight="1">
      <c r="A47" s="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40"/>
    </row>
    <row r="48" spans="1:31" ht="24" customHeight="1">
      <c r="A48" s="8" t="s">
        <v>11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76"/>
      <c r="X48" s="76"/>
      <c r="Y48" s="76"/>
      <c r="Z48" s="76"/>
      <c r="AA48" s="76"/>
      <c r="AB48" s="76"/>
      <c r="AC48" s="76"/>
      <c r="AD48" s="76"/>
      <c r="AE48" s="40"/>
    </row>
    <row r="49" spans="1:31" ht="24" customHeight="1">
      <c r="A49" s="8"/>
      <c r="B49" s="89"/>
      <c r="C49" s="89"/>
      <c r="D49" s="77"/>
      <c r="E49" s="76"/>
      <c r="F49" s="77"/>
      <c r="G49" s="77"/>
      <c r="H49" s="77"/>
      <c r="I49" s="76"/>
      <c r="J49" s="76"/>
      <c r="K49" s="77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104"/>
      <c r="X49" s="104"/>
      <c r="Y49" s="104"/>
      <c r="Z49" s="104"/>
      <c r="AA49" s="104"/>
      <c r="AB49" s="104"/>
      <c r="AC49" s="104"/>
      <c r="AD49" s="104"/>
      <c r="AE49" s="105" t="s">
        <v>29</v>
      </c>
    </row>
    <row r="50" spans="1:32" ht="24" customHeight="1">
      <c r="A50" s="8"/>
      <c r="B50" s="83">
        <f aca="true" t="shared" si="3" ref="B50:AD50">SUM(B42:B48)</f>
        <v>0</v>
      </c>
      <c r="C50" s="83">
        <f t="shared" si="3"/>
        <v>0</v>
      </c>
      <c r="D50" s="83">
        <f t="shared" si="3"/>
        <v>0</v>
      </c>
      <c r="E50" s="83">
        <f t="shared" si="3"/>
        <v>0</v>
      </c>
      <c r="F50" s="83">
        <f t="shared" si="3"/>
        <v>0</v>
      </c>
      <c r="G50" s="83">
        <f t="shared" si="3"/>
        <v>0</v>
      </c>
      <c r="H50" s="83">
        <f t="shared" si="3"/>
        <v>0</v>
      </c>
      <c r="I50" s="83">
        <f t="shared" si="3"/>
        <v>0</v>
      </c>
      <c r="J50" s="83">
        <f t="shared" si="3"/>
        <v>0</v>
      </c>
      <c r="K50" s="83">
        <f t="shared" si="3"/>
        <v>0</v>
      </c>
      <c r="L50" s="83">
        <f t="shared" si="3"/>
        <v>0</v>
      </c>
      <c r="M50" s="83">
        <f t="shared" si="3"/>
        <v>0</v>
      </c>
      <c r="N50" s="83">
        <f t="shared" si="3"/>
        <v>0</v>
      </c>
      <c r="O50" s="83">
        <f t="shared" si="3"/>
        <v>0</v>
      </c>
      <c r="P50" s="83">
        <f t="shared" si="3"/>
        <v>0</v>
      </c>
      <c r="Q50" s="83">
        <f t="shared" si="3"/>
        <v>0</v>
      </c>
      <c r="R50" s="83">
        <f t="shared" si="3"/>
        <v>0</v>
      </c>
      <c r="S50" s="83">
        <f t="shared" si="3"/>
        <v>0</v>
      </c>
      <c r="T50" s="83">
        <f t="shared" si="3"/>
        <v>0</v>
      </c>
      <c r="U50" s="83">
        <f t="shared" si="3"/>
        <v>0</v>
      </c>
      <c r="V50" s="83">
        <f t="shared" si="3"/>
        <v>0</v>
      </c>
      <c r="W50" s="83">
        <f t="shared" si="3"/>
        <v>0</v>
      </c>
      <c r="X50" s="83">
        <f t="shared" si="3"/>
        <v>0</v>
      </c>
      <c r="Y50" s="83">
        <f t="shared" si="3"/>
        <v>0</v>
      </c>
      <c r="Z50" s="83">
        <f t="shared" si="3"/>
        <v>0</v>
      </c>
      <c r="AA50" s="83">
        <f t="shared" si="3"/>
        <v>0</v>
      </c>
      <c r="AB50" s="83">
        <f t="shared" si="3"/>
        <v>0</v>
      </c>
      <c r="AC50" s="83">
        <f t="shared" si="3"/>
        <v>0</v>
      </c>
      <c r="AD50" s="83">
        <f t="shared" si="3"/>
        <v>0</v>
      </c>
      <c r="AE50" s="35">
        <f>AVERAGE(B50:AC50)</f>
        <v>0</v>
      </c>
      <c r="AF50" s="9"/>
    </row>
    <row r="51" spans="1:32" ht="24" customHeight="1">
      <c r="A51" s="9" t="s">
        <v>15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40"/>
      <c r="AF51" s="9"/>
    </row>
    <row r="52" spans="1:31" ht="24" customHeight="1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40" t="s">
        <v>29</v>
      </c>
    </row>
    <row r="53" spans="1:31" ht="24" customHeight="1">
      <c r="A53" s="8" t="s">
        <v>4</v>
      </c>
      <c r="B53" s="83">
        <v>0.5</v>
      </c>
      <c r="C53" s="83">
        <v>0.5</v>
      </c>
      <c r="D53" s="83">
        <v>0.3</v>
      </c>
      <c r="E53" s="83">
        <v>0.5</v>
      </c>
      <c r="F53" s="83">
        <v>0.5</v>
      </c>
      <c r="G53" s="83">
        <v>0.5</v>
      </c>
      <c r="H53" s="83">
        <v>0.5</v>
      </c>
      <c r="I53" s="83">
        <v>0.5</v>
      </c>
      <c r="J53" s="83">
        <v>0.4</v>
      </c>
      <c r="K53" s="83">
        <v>0.4</v>
      </c>
      <c r="L53" s="83">
        <v>0.4</v>
      </c>
      <c r="M53" s="83">
        <v>0.5</v>
      </c>
      <c r="N53" s="83">
        <v>0.5</v>
      </c>
      <c r="O53" s="83">
        <v>0.5</v>
      </c>
      <c r="P53" s="83">
        <v>0.5</v>
      </c>
      <c r="Q53" s="83">
        <v>0.3</v>
      </c>
      <c r="R53" s="83">
        <v>0.3</v>
      </c>
      <c r="S53" s="83">
        <v>0.4</v>
      </c>
      <c r="T53" s="83">
        <v>0.5</v>
      </c>
      <c r="U53" s="83">
        <v>0.5</v>
      </c>
      <c r="V53" s="83">
        <v>0.5</v>
      </c>
      <c r="W53" s="83">
        <v>0.5</v>
      </c>
      <c r="X53" s="83">
        <v>0.4</v>
      </c>
      <c r="Y53" s="83">
        <v>0.4</v>
      </c>
      <c r="Z53" s="83">
        <v>0.5</v>
      </c>
      <c r="AA53" s="83">
        <v>0.5</v>
      </c>
      <c r="AB53" s="83">
        <v>0.5</v>
      </c>
      <c r="AC53" s="83">
        <v>0.5</v>
      </c>
      <c r="AD53" s="83">
        <v>0.5</v>
      </c>
      <c r="AE53" s="35">
        <f>AVERAGE(B53:AD53)</f>
        <v>0.45862068965517244</v>
      </c>
    </row>
    <row r="54" spans="1:31" ht="24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40"/>
    </row>
    <row r="55" spans="1:31" ht="24" customHeight="1">
      <c r="A55" s="8" t="s">
        <v>16</v>
      </c>
      <c r="B55" s="76">
        <f>SUM(B12+B25+B39+B50+B53)</f>
        <v>0.5</v>
      </c>
      <c r="C55" s="76">
        <f aca="true" t="shared" si="4" ref="C55:AD55">SUM(C12+C25+C39+C50+C53)</f>
        <v>0.5</v>
      </c>
      <c r="D55" s="76">
        <f t="shared" si="4"/>
        <v>0.3</v>
      </c>
      <c r="E55" s="76">
        <f t="shared" si="4"/>
        <v>0.5</v>
      </c>
      <c r="F55" s="76">
        <f t="shared" si="4"/>
        <v>0.5</v>
      </c>
      <c r="G55" s="76">
        <f t="shared" si="4"/>
        <v>0.5</v>
      </c>
      <c r="H55" s="76">
        <f t="shared" si="4"/>
        <v>0.5</v>
      </c>
      <c r="I55" s="76">
        <f t="shared" si="4"/>
        <v>0.5</v>
      </c>
      <c r="J55" s="76">
        <f t="shared" si="4"/>
        <v>0.4</v>
      </c>
      <c r="K55" s="76">
        <f t="shared" si="4"/>
        <v>0.4</v>
      </c>
      <c r="L55" s="76">
        <f t="shared" si="4"/>
        <v>0.4</v>
      </c>
      <c r="M55" s="76">
        <f t="shared" si="4"/>
        <v>0.5</v>
      </c>
      <c r="N55" s="76">
        <f t="shared" si="4"/>
        <v>0.5</v>
      </c>
      <c r="O55" s="76">
        <f t="shared" si="4"/>
        <v>0.5</v>
      </c>
      <c r="P55" s="76">
        <f t="shared" si="4"/>
        <v>0.5</v>
      </c>
      <c r="Q55" s="76">
        <f t="shared" si="4"/>
        <v>0.3</v>
      </c>
      <c r="R55" s="76">
        <f t="shared" si="4"/>
        <v>0.3</v>
      </c>
      <c r="S55" s="76">
        <f t="shared" si="4"/>
        <v>0.4</v>
      </c>
      <c r="T55" s="76">
        <f t="shared" si="4"/>
        <v>0.5</v>
      </c>
      <c r="U55" s="76">
        <f t="shared" si="4"/>
        <v>0.5</v>
      </c>
      <c r="V55" s="76">
        <f t="shared" si="4"/>
        <v>0.5</v>
      </c>
      <c r="W55" s="76">
        <f t="shared" si="4"/>
        <v>0.5</v>
      </c>
      <c r="X55" s="76">
        <f t="shared" si="4"/>
        <v>0.4</v>
      </c>
      <c r="Y55" s="76">
        <f t="shared" si="4"/>
        <v>0.4</v>
      </c>
      <c r="Z55" s="76">
        <f t="shared" si="4"/>
        <v>0.5</v>
      </c>
      <c r="AA55" s="76">
        <f t="shared" si="4"/>
        <v>0.5</v>
      </c>
      <c r="AB55" s="76">
        <f t="shared" si="4"/>
        <v>0.5</v>
      </c>
      <c r="AC55" s="76">
        <f t="shared" si="4"/>
        <v>0.5</v>
      </c>
      <c r="AD55" s="76">
        <f t="shared" si="4"/>
        <v>0.5</v>
      </c>
      <c r="AE55" s="40"/>
    </row>
    <row r="56" spans="1:31" ht="24" customHeight="1">
      <c r="A56" s="8"/>
      <c r="B56" s="76"/>
      <c r="C56" s="7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40"/>
    </row>
    <row r="57" spans="1:31" ht="24" customHeight="1">
      <c r="A57" s="8" t="s">
        <v>17</v>
      </c>
      <c r="B57" s="97">
        <f aca="true" t="shared" si="5" ref="B57:AD57">-SUM(B21+B23+B36+B37+B46+B48)</f>
        <v>0</v>
      </c>
      <c r="C57" s="97">
        <f t="shared" si="5"/>
        <v>0</v>
      </c>
      <c r="D57" s="97">
        <f t="shared" si="5"/>
        <v>0</v>
      </c>
      <c r="E57" s="97">
        <f t="shared" si="5"/>
        <v>0</v>
      </c>
      <c r="F57" s="97">
        <f t="shared" si="5"/>
        <v>0</v>
      </c>
      <c r="G57" s="97">
        <f t="shared" si="5"/>
        <v>0</v>
      </c>
      <c r="H57" s="97">
        <f t="shared" si="5"/>
        <v>0</v>
      </c>
      <c r="I57" s="97">
        <f t="shared" si="5"/>
        <v>0</v>
      </c>
      <c r="J57" s="97">
        <f t="shared" si="5"/>
        <v>0</v>
      </c>
      <c r="K57" s="97">
        <f t="shared" si="5"/>
        <v>0</v>
      </c>
      <c r="L57" s="97">
        <f t="shared" si="5"/>
        <v>0</v>
      </c>
      <c r="M57" s="97">
        <f t="shared" si="5"/>
        <v>0</v>
      </c>
      <c r="N57" s="97">
        <f t="shared" si="5"/>
        <v>0</v>
      </c>
      <c r="O57" s="97">
        <f t="shared" si="5"/>
        <v>0</v>
      </c>
      <c r="P57" s="97">
        <f t="shared" si="5"/>
        <v>0</v>
      </c>
      <c r="Q57" s="97">
        <f t="shared" si="5"/>
        <v>0</v>
      </c>
      <c r="R57" s="97">
        <f t="shared" si="5"/>
        <v>0</v>
      </c>
      <c r="S57" s="97">
        <f t="shared" si="5"/>
        <v>0</v>
      </c>
      <c r="T57" s="97">
        <f t="shared" si="5"/>
        <v>0</v>
      </c>
      <c r="U57" s="97">
        <f t="shared" si="5"/>
        <v>0</v>
      </c>
      <c r="V57" s="97">
        <f t="shared" si="5"/>
        <v>0</v>
      </c>
      <c r="W57" s="97">
        <f t="shared" si="5"/>
        <v>0</v>
      </c>
      <c r="X57" s="97">
        <f t="shared" si="5"/>
        <v>0</v>
      </c>
      <c r="Y57" s="97">
        <f t="shared" si="5"/>
        <v>0</v>
      </c>
      <c r="Z57" s="97">
        <f t="shared" si="5"/>
        <v>0</v>
      </c>
      <c r="AA57" s="97">
        <f t="shared" si="5"/>
        <v>0</v>
      </c>
      <c r="AB57" s="97">
        <f t="shared" si="5"/>
        <v>0</v>
      </c>
      <c r="AC57" s="97">
        <f t="shared" si="5"/>
        <v>0</v>
      </c>
      <c r="AD57" s="97">
        <f t="shared" si="5"/>
        <v>0</v>
      </c>
      <c r="AE57" s="40"/>
    </row>
    <row r="58" spans="1:31" ht="24" customHeight="1">
      <c r="A58" s="8"/>
      <c r="B58" s="76"/>
      <c r="C58" s="76"/>
      <c r="D58" s="90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105" t="s">
        <v>29</v>
      </c>
    </row>
    <row r="59" spans="1:31" ht="24" customHeight="1" thickBot="1">
      <c r="A59" s="9" t="s">
        <v>22</v>
      </c>
      <c r="B59" s="78">
        <f aca="true" t="shared" si="6" ref="B59:AD59">SUM(B55:B57)</f>
        <v>0.5</v>
      </c>
      <c r="C59" s="78">
        <f t="shared" si="6"/>
        <v>0.5</v>
      </c>
      <c r="D59" s="78">
        <f t="shared" si="6"/>
        <v>0.3</v>
      </c>
      <c r="E59" s="78">
        <f t="shared" si="6"/>
        <v>0.5</v>
      </c>
      <c r="F59" s="78">
        <f t="shared" si="6"/>
        <v>0.5</v>
      </c>
      <c r="G59" s="78">
        <f t="shared" si="6"/>
        <v>0.5</v>
      </c>
      <c r="H59" s="78">
        <f t="shared" si="6"/>
        <v>0.5</v>
      </c>
      <c r="I59" s="78">
        <f t="shared" si="6"/>
        <v>0.5</v>
      </c>
      <c r="J59" s="78">
        <f t="shared" si="6"/>
        <v>0.4</v>
      </c>
      <c r="K59" s="78">
        <f t="shared" si="6"/>
        <v>0.4</v>
      </c>
      <c r="L59" s="78">
        <f t="shared" si="6"/>
        <v>0.4</v>
      </c>
      <c r="M59" s="78">
        <f t="shared" si="6"/>
        <v>0.5</v>
      </c>
      <c r="N59" s="78">
        <f t="shared" si="6"/>
        <v>0.5</v>
      </c>
      <c r="O59" s="78">
        <f t="shared" si="6"/>
        <v>0.5</v>
      </c>
      <c r="P59" s="78">
        <f t="shared" si="6"/>
        <v>0.5</v>
      </c>
      <c r="Q59" s="78">
        <f t="shared" si="6"/>
        <v>0.3</v>
      </c>
      <c r="R59" s="78">
        <f t="shared" si="6"/>
        <v>0.3</v>
      </c>
      <c r="S59" s="78">
        <f t="shared" si="6"/>
        <v>0.4</v>
      </c>
      <c r="T59" s="78">
        <f t="shared" si="6"/>
        <v>0.5</v>
      </c>
      <c r="U59" s="78">
        <f t="shared" si="6"/>
        <v>0.5</v>
      </c>
      <c r="V59" s="78">
        <f t="shared" si="6"/>
        <v>0.5</v>
      </c>
      <c r="W59" s="78">
        <f t="shared" si="6"/>
        <v>0.5</v>
      </c>
      <c r="X59" s="78">
        <f t="shared" si="6"/>
        <v>0.4</v>
      </c>
      <c r="Y59" s="78">
        <f t="shared" si="6"/>
        <v>0.4</v>
      </c>
      <c r="Z59" s="78">
        <f t="shared" si="6"/>
        <v>0.5</v>
      </c>
      <c r="AA59" s="78">
        <f t="shared" si="6"/>
        <v>0.5</v>
      </c>
      <c r="AB59" s="78">
        <f t="shared" si="6"/>
        <v>0.5</v>
      </c>
      <c r="AC59" s="78">
        <f t="shared" si="6"/>
        <v>0.5</v>
      </c>
      <c r="AD59" s="78">
        <f t="shared" si="6"/>
        <v>0.5</v>
      </c>
      <c r="AE59" s="41">
        <f>AVERAGE(B59:AC59)</f>
        <v>0.4571428571428572</v>
      </c>
    </row>
    <row r="60" spans="1:31" ht="24" customHeight="1">
      <c r="A60" s="9"/>
      <c r="B60" s="22"/>
      <c r="C60" s="25"/>
      <c r="D60" s="25"/>
      <c r="E60" s="25"/>
      <c r="F60" s="25"/>
      <c r="G60" s="25"/>
      <c r="H60" s="18"/>
      <c r="I60" s="12"/>
      <c r="J60" s="12"/>
      <c r="K60" s="12"/>
      <c r="L60" s="12"/>
      <c r="M60" s="12"/>
      <c r="N60" s="12"/>
      <c r="O60" s="12"/>
      <c r="P60" s="1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44"/>
    </row>
    <row r="61" spans="1:31" ht="24" customHeight="1">
      <c r="A61" s="8" t="s">
        <v>20</v>
      </c>
      <c r="B61" s="14"/>
      <c r="C61" s="14"/>
      <c r="D61" s="14"/>
      <c r="E61" s="14"/>
      <c r="F61" s="14"/>
      <c r="G61" s="14"/>
      <c r="H61" s="14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4"/>
      <c r="T61" s="14"/>
      <c r="U61" s="14"/>
      <c r="V61" s="14"/>
      <c r="W61" s="14"/>
      <c r="X61" s="14"/>
      <c r="Y61" s="14"/>
      <c r="Z61" s="17"/>
      <c r="AA61" s="17"/>
      <c r="AB61" s="17"/>
      <c r="AC61" s="17"/>
      <c r="AD61" s="17"/>
      <c r="AE61" s="47"/>
    </row>
    <row r="62" spans="2:32" ht="24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44"/>
      <c r="AF62" s="9"/>
    </row>
    <row r="63" spans="1:31" ht="24" customHeight="1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46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3"/>
  <sheetViews>
    <sheetView zoomScale="55" zoomScaleNormal="5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56" sqref="B56"/>
    </sheetView>
  </sheetViews>
  <sheetFormatPr defaultColWidth="8.88671875" defaultRowHeight="15"/>
  <cols>
    <col min="1" max="1" width="32.21484375" style="0" customWidth="1"/>
    <col min="2" max="32" width="9.77734375" style="0" customWidth="1"/>
    <col min="33" max="33" width="10.77734375" style="37" customWidth="1"/>
  </cols>
  <sheetData>
    <row r="1" spans="1:34" ht="27.75" customHeight="1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3"/>
      <c r="AH1" s="2"/>
    </row>
    <row r="2" spans="1:34" ht="27.75" customHeight="1">
      <c r="A2" s="1">
        <v>41334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3"/>
      <c r="AH2" s="2"/>
    </row>
    <row r="3" spans="1:34" ht="27.75" customHeight="1">
      <c r="A3" s="3" t="s">
        <v>21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4"/>
      <c r="AA3" s="3"/>
      <c r="AB3" s="4"/>
      <c r="AC3" s="4"/>
      <c r="AD3" s="4"/>
      <c r="AE3" s="4"/>
      <c r="AF3" s="4"/>
      <c r="AG3" s="38"/>
      <c r="AH3" s="2"/>
    </row>
    <row r="4" spans="1:36" ht="27.75" customHeight="1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30"/>
      <c r="AI4" s="30"/>
      <c r="AJ4" s="30"/>
    </row>
    <row r="5" spans="1:34" ht="27.75" customHeight="1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31"/>
      <c r="AH5" s="2"/>
    </row>
    <row r="6" spans="1:34" ht="27.75" customHeight="1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2"/>
      <c r="AH6" s="3"/>
    </row>
    <row r="7" spans="1:34" ht="27.75" customHeight="1">
      <c r="A7" s="8"/>
      <c r="B7" s="25"/>
      <c r="C7" s="25"/>
      <c r="D7" s="25"/>
      <c r="E7" s="25"/>
      <c r="F7" s="25"/>
      <c r="G7" s="25"/>
      <c r="H7" s="25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32"/>
      <c r="AH7" s="5"/>
    </row>
    <row r="8" spans="1:34" ht="27.75" customHeight="1">
      <c r="A8" s="8" t="s">
        <v>1</v>
      </c>
      <c r="B8" s="12"/>
      <c r="C8" s="12"/>
      <c r="D8" s="12"/>
      <c r="E8" s="12"/>
      <c r="F8" s="12"/>
      <c r="G8" s="12"/>
      <c r="H8" s="12"/>
      <c r="I8" s="10"/>
      <c r="J8" s="10"/>
      <c r="K8" s="12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33"/>
      <c r="AH8" s="6"/>
    </row>
    <row r="9" spans="1:34" ht="27.75" customHeight="1">
      <c r="A9" s="8"/>
      <c r="B9" s="22"/>
      <c r="C9" s="22"/>
      <c r="D9" s="22"/>
      <c r="E9" s="22"/>
      <c r="F9" s="22"/>
      <c r="G9" s="22"/>
      <c r="H9" s="22"/>
      <c r="I9" s="11"/>
      <c r="J9" s="11"/>
      <c r="K9" s="22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33"/>
      <c r="AH9" s="15"/>
    </row>
    <row r="10" spans="1:34" ht="27.75" customHeight="1">
      <c r="A10" s="8" t="s">
        <v>2</v>
      </c>
      <c r="B10" s="68"/>
      <c r="C10" s="68"/>
      <c r="D10" s="68"/>
      <c r="E10" s="68"/>
      <c r="F10" s="68"/>
      <c r="G10" s="68"/>
      <c r="H10" s="68"/>
      <c r="I10" s="128"/>
      <c r="J10" s="128"/>
      <c r="K10" s="6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40"/>
      <c r="AH10" s="15"/>
    </row>
    <row r="11" spans="1:34" ht="27.75" customHeight="1">
      <c r="A11" s="8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5" t="s">
        <v>29</v>
      </c>
      <c r="AH11" s="9"/>
    </row>
    <row r="12" spans="1:34" ht="27.75" customHeight="1">
      <c r="A12" s="8"/>
      <c r="B12" s="83">
        <f>SUM(B8:B10)</f>
        <v>0</v>
      </c>
      <c r="C12" s="83">
        <f aca="true" t="shared" si="0" ref="C12:AF12">SUM(C8:C10)</f>
        <v>0</v>
      </c>
      <c r="D12" s="83">
        <f t="shared" si="0"/>
        <v>0</v>
      </c>
      <c r="E12" s="83">
        <f t="shared" si="0"/>
        <v>0</v>
      </c>
      <c r="F12" s="83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0"/>
        <v>0</v>
      </c>
      <c r="J12" s="83">
        <f t="shared" si="0"/>
        <v>0</v>
      </c>
      <c r="K12" s="83">
        <f t="shared" si="0"/>
        <v>0</v>
      </c>
      <c r="L12" s="83">
        <f t="shared" si="0"/>
        <v>0</v>
      </c>
      <c r="M12" s="83">
        <f t="shared" si="0"/>
        <v>0</v>
      </c>
      <c r="N12" s="83">
        <f t="shared" si="0"/>
        <v>0</v>
      </c>
      <c r="O12" s="83">
        <f t="shared" si="0"/>
        <v>0</v>
      </c>
      <c r="P12" s="83">
        <f t="shared" si="0"/>
        <v>0</v>
      </c>
      <c r="Q12" s="83">
        <f t="shared" si="0"/>
        <v>0</v>
      </c>
      <c r="R12" s="83">
        <f t="shared" si="0"/>
        <v>0</v>
      </c>
      <c r="S12" s="83">
        <f t="shared" si="0"/>
        <v>0</v>
      </c>
      <c r="T12" s="83">
        <f t="shared" si="0"/>
        <v>0</v>
      </c>
      <c r="U12" s="83">
        <f t="shared" si="0"/>
        <v>0</v>
      </c>
      <c r="V12" s="83">
        <f t="shared" si="0"/>
        <v>0</v>
      </c>
      <c r="W12" s="83">
        <f t="shared" si="0"/>
        <v>0</v>
      </c>
      <c r="X12" s="83">
        <f t="shared" si="0"/>
        <v>0</v>
      </c>
      <c r="Y12" s="83">
        <f t="shared" si="0"/>
        <v>0</v>
      </c>
      <c r="Z12" s="83">
        <f t="shared" si="0"/>
        <v>0</v>
      </c>
      <c r="AA12" s="83">
        <f t="shared" si="0"/>
        <v>0</v>
      </c>
      <c r="AB12" s="83">
        <f t="shared" si="0"/>
        <v>0</v>
      </c>
      <c r="AC12" s="83">
        <f t="shared" si="0"/>
        <v>0</v>
      </c>
      <c r="AD12" s="83">
        <f t="shared" si="0"/>
        <v>0</v>
      </c>
      <c r="AE12" s="83">
        <f t="shared" si="0"/>
        <v>0</v>
      </c>
      <c r="AF12" s="83">
        <f t="shared" si="0"/>
        <v>0</v>
      </c>
      <c r="AG12" s="35">
        <f>AVERAGE(B12:AF12)</f>
        <v>0</v>
      </c>
      <c r="AH12" s="15"/>
    </row>
    <row r="13" spans="1:34" ht="27.75" customHeight="1">
      <c r="A13" s="9" t="s">
        <v>3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40"/>
      <c r="AH13" s="15"/>
    </row>
    <row r="14" spans="1:34" ht="27.75" customHeight="1">
      <c r="A14" s="8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9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40"/>
      <c r="AH14" s="15"/>
    </row>
    <row r="15" spans="1:34" ht="27.75" customHeight="1">
      <c r="A15" s="8" t="s">
        <v>19</v>
      </c>
      <c r="B15" s="80"/>
      <c r="C15" s="80"/>
      <c r="D15" s="80"/>
      <c r="E15" s="80"/>
      <c r="F15" s="80"/>
      <c r="G15" s="80"/>
      <c r="H15" s="80"/>
      <c r="I15" s="80"/>
      <c r="J15" s="82"/>
      <c r="K15" s="106"/>
      <c r="L15" s="82"/>
      <c r="M15" s="82"/>
      <c r="N15" s="82"/>
      <c r="O15" s="82"/>
      <c r="P15" s="82"/>
      <c r="Q15" s="82"/>
      <c r="R15" s="82"/>
      <c r="S15" s="106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40"/>
      <c r="AH15" s="15"/>
    </row>
    <row r="16" spans="1:34" ht="27.75" customHeight="1">
      <c r="A16" s="8"/>
      <c r="B16" s="82"/>
      <c r="C16" s="82"/>
      <c r="D16" s="82"/>
      <c r="E16" s="82"/>
      <c r="F16" s="82"/>
      <c r="G16" s="82"/>
      <c r="H16" s="82"/>
      <c r="I16" s="82"/>
      <c r="J16" s="82"/>
      <c r="K16" s="106"/>
      <c r="L16" s="82"/>
      <c r="M16" s="82"/>
      <c r="N16" s="82"/>
      <c r="O16" s="82"/>
      <c r="P16" s="82"/>
      <c r="Q16" s="82"/>
      <c r="R16" s="82"/>
      <c r="S16" s="106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40"/>
      <c r="AH16" s="15"/>
    </row>
    <row r="17" spans="1:34" ht="27.75" customHeight="1">
      <c r="A17" s="7" t="s">
        <v>28</v>
      </c>
      <c r="B17" s="82"/>
      <c r="C17" s="82"/>
      <c r="D17" s="82"/>
      <c r="E17" s="82"/>
      <c r="F17" s="82"/>
      <c r="G17" s="82"/>
      <c r="H17" s="82"/>
      <c r="I17" s="82"/>
      <c r="J17" s="82"/>
      <c r="K17" s="106"/>
      <c r="L17" s="82"/>
      <c r="M17" s="82"/>
      <c r="N17" s="82"/>
      <c r="O17" s="82"/>
      <c r="P17" s="82"/>
      <c r="Q17" s="82"/>
      <c r="R17" s="82"/>
      <c r="S17" s="106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40"/>
      <c r="AH17" s="15"/>
    </row>
    <row r="18" spans="1:34" ht="27.75" customHeight="1">
      <c r="A18" s="8"/>
      <c r="B18" s="82"/>
      <c r="C18" s="82"/>
      <c r="D18" s="82"/>
      <c r="E18" s="82"/>
      <c r="F18" s="82"/>
      <c r="G18" s="82"/>
      <c r="H18" s="82"/>
      <c r="I18" s="82"/>
      <c r="J18" s="82"/>
      <c r="K18" s="106"/>
      <c r="L18" s="82"/>
      <c r="M18" s="82"/>
      <c r="N18" s="82"/>
      <c r="O18" s="82"/>
      <c r="P18" s="82"/>
      <c r="Q18" s="82"/>
      <c r="R18" s="82"/>
      <c r="S18" s="106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40"/>
      <c r="AH18" s="15"/>
    </row>
    <row r="19" spans="1:34" ht="27.75" customHeight="1">
      <c r="A19" s="8" t="s">
        <v>5</v>
      </c>
      <c r="B19" s="82"/>
      <c r="C19" s="82"/>
      <c r="D19" s="82"/>
      <c r="E19" s="82"/>
      <c r="F19" s="82"/>
      <c r="G19" s="82"/>
      <c r="H19" s="82"/>
      <c r="I19" s="82"/>
      <c r="J19" s="82"/>
      <c r="K19" s="106"/>
      <c r="L19" s="82"/>
      <c r="M19" s="82"/>
      <c r="N19" s="82"/>
      <c r="O19" s="82"/>
      <c r="P19" s="82"/>
      <c r="Q19" s="82"/>
      <c r="R19" s="82"/>
      <c r="S19" s="106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40"/>
      <c r="AH19" s="15"/>
    </row>
    <row r="20" spans="1:34" ht="27.75" customHeight="1">
      <c r="A20" s="8"/>
      <c r="B20" s="82"/>
      <c r="C20" s="82"/>
      <c r="D20" s="82"/>
      <c r="E20" s="82"/>
      <c r="F20" s="82"/>
      <c r="G20" s="82"/>
      <c r="H20" s="82"/>
      <c r="I20" s="82"/>
      <c r="J20" s="82"/>
      <c r="K20" s="106"/>
      <c r="L20" s="82"/>
      <c r="M20" s="82"/>
      <c r="N20" s="82"/>
      <c r="O20" s="82"/>
      <c r="P20" s="82"/>
      <c r="Q20" s="82"/>
      <c r="R20" s="82"/>
      <c r="S20" s="106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40"/>
      <c r="AH20" s="15"/>
    </row>
    <row r="21" spans="1:34" ht="27.75" customHeight="1">
      <c r="A21" s="8" t="s">
        <v>6</v>
      </c>
      <c r="B21" s="82"/>
      <c r="C21" s="82"/>
      <c r="D21" s="82"/>
      <c r="E21" s="82"/>
      <c r="F21" s="82"/>
      <c r="G21" s="82"/>
      <c r="H21" s="82"/>
      <c r="I21" s="82"/>
      <c r="J21" s="82"/>
      <c r="K21" s="106"/>
      <c r="L21" s="82"/>
      <c r="M21" s="82"/>
      <c r="N21" s="82"/>
      <c r="O21" s="82"/>
      <c r="P21" s="82"/>
      <c r="Q21" s="82"/>
      <c r="R21" s="82"/>
      <c r="S21" s="106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40"/>
      <c r="AH21" s="15"/>
    </row>
    <row r="22" spans="1:34" ht="27.75" customHeight="1">
      <c r="A22" s="8"/>
      <c r="B22" s="82"/>
      <c r="C22" s="82"/>
      <c r="D22" s="82"/>
      <c r="E22" s="82"/>
      <c r="F22" s="82"/>
      <c r="G22" s="82"/>
      <c r="H22" s="82"/>
      <c r="I22" s="82"/>
      <c r="J22" s="82"/>
      <c r="K22" s="106"/>
      <c r="L22" s="82"/>
      <c r="M22" s="82"/>
      <c r="N22" s="82"/>
      <c r="O22" s="82"/>
      <c r="P22" s="82"/>
      <c r="Q22" s="82"/>
      <c r="R22" s="82"/>
      <c r="S22" s="106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40"/>
      <c r="AH22" s="15"/>
    </row>
    <row r="23" spans="1:34" ht="27.75" customHeight="1">
      <c r="A23" s="8" t="s">
        <v>7</v>
      </c>
      <c r="B23" s="82"/>
      <c r="C23" s="82"/>
      <c r="D23" s="82"/>
      <c r="E23" s="82"/>
      <c r="F23" s="82"/>
      <c r="G23" s="82"/>
      <c r="H23" s="82"/>
      <c r="I23" s="82"/>
      <c r="J23" s="82"/>
      <c r="K23" s="106"/>
      <c r="L23" s="82"/>
      <c r="M23" s="82"/>
      <c r="N23" s="82"/>
      <c r="O23" s="82"/>
      <c r="P23" s="82"/>
      <c r="Q23" s="82"/>
      <c r="R23" s="82"/>
      <c r="S23" s="106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40"/>
      <c r="AH23" s="15"/>
    </row>
    <row r="24" spans="1:34" ht="27.75" customHeight="1">
      <c r="A24" s="8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5" t="s">
        <v>29</v>
      </c>
      <c r="AH24" s="9"/>
    </row>
    <row r="25" spans="1:34" ht="27.75" customHeight="1">
      <c r="A25" s="8"/>
      <c r="B25" s="83">
        <f aca="true" t="shared" si="1" ref="B25:AF25">SUM(B15:B24)</f>
        <v>0</v>
      </c>
      <c r="C25" s="83">
        <f t="shared" si="1"/>
        <v>0</v>
      </c>
      <c r="D25" s="83">
        <f t="shared" si="1"/>
        <v>0</v>
      </c>
      <c r="E25" s="83">
        <f t="shared" si="1"/>
        <v>0</v>
      </c>
      <c r="F25" s="83">
        <f t="shared" si="1"/>
        <v>0</v>
      </c>
      <c r="G25" s="83">
        <f t="shared" si="1"/>
        <v>0</v>
      </c>
      <c r="H25" s="83">
        <f t="shared" si="1"/>
        <v>0</v>
      </c>
      <c r="I25" s="83">
        <f t="shared" si="1"/>
        <v>0</v>
      </c>
      <c r="J25" s="83">
        <f t="shared" si="1"/>
        <v>0</v>
      </c>
      <c r="K25" s="83">
        <f t="shared" si="1"/>
        <v>0</v>
      </c>
      <c r="L25" s="83">
        <f t="shared" si="1"/>
        <v>0</v>
      </c>
      <c r="M25" s="83">
        <f t="shared" si="1"/>
        <v>0</v>
      </c>
      <c r="N25" s="83">
        <f t="shared" si="1"/>
        <v>0</v>
      </c>
      <c r="O25" s="83">
        <f t="shared" si="1"/>
        <v>0</v>
      </c>
      <c r="P25" s="83">
        <f t="shared" si="1"/>
        <v>0</v>
      </c>
      <c r="Q25" s="83">
        <f t="shared" si="1"/>
        <v>0</v>
      </c>
      <c r="R25" s="83">
        <f t="shared" si="1"/>
        <v>0</v>
      </c>
      <c r="S25" s="83">
        <f t="shared" si="1"/>
        <v>0</v>
      </c>
      <c r="T25" s="83">
        <f t="shared" si="1"/>
        <v>0</v>
      </c>
      <c r="U25" s="83">
        <f t="shared" si="1"/>
        <v>0</v>
      </c>
      <c r="V25" s="83">
        <f t="shared" si="1"/>
        <v>0</v>
      </c>
      <c r="W25" s="83">
        <f t="shared" si="1"/>
        <v>0</v>
      </c>
      <c r="X25" s="83">
        <f t="shared" si="1"/>
        <v>0</v>
      </c>
      <c r="Y25" s="83">
        <f t="shared" si="1"/>
        <v>0</v>
      </c>
      <c r="Z25" s="83">
        <f t="shared" si="1"/>
        <v>0</v>
      </c>
      <c r="AA25" s="83">
        <f t="shared" si="1"/>
        <v>0</v>
      </c>
      <c r="AB25" s="83">
        <f t="shared" si="1"/>
        <v>0</v>
      </c>
      <c r="AC25" s="83">
        <f t="shared" si="1"/>
        <v>0</v>
      </c>
      <c r="AD25" s="83">
        <f t="shared" si="1"/>
        <v>0</v>
      </c>
      <c r="AE25" s="83">
        <f t="shared" si="1"/>
        <v>0</v>
      </c>
      <c r="AF25" s="83">
        <f t="shared" si="1"/>
        <v>0</v>
      </c>
      <c r="AG25" s="35">
        <f>AVERAGE(B25:AF25)</f>
        <v>0</v>
      </c>
      <c r="AH25" s="15"/>
    </row>
    <row r="26" spans="1:34" ht="27.75" customHeight="1">
      <c r="A26" s="16" t="s">
        <v>8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40"/>
      <c r="AH26" s="15"/>
    </row>
    <row r="27" spans="1:34" ht="27.75" customHeight="1">
      <c r="A27" s="8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40"/>
      <c r="AH27" s="15"/>
    </row>
    <row r="28" spans="1:34" ht="27.75" customHeight="1">
      <c r="A28" s="14" t="s">
        <v>9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40"/>
      <c r="AH28" s="15"/>
    </row>
    <row r="29" spans="1:34" ht="27.75" customHeight="1">
      <c r="A29" s="14" t="s">
        <v>10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40"/>
      <c r="AH29" s="15"/>
    </row>
    <row r="30" spans="1:34" ht="27.75" customHeight="1">
      <c r="A30" s="14" t="s">
        <v>25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40"/>
      <c r="AH30" s="15"/>
    </row>
    <row r="31" spans="1:34" ht="27.75" customHeight="1">
      <c r="A31" s="14" t="s">
        <v>24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40"/>
      <c r="AH31" s="15"/>
    </row>
    <row r="32" spans="1:34" ht="27.75" customHeight="1">
      <c r="A32" s="14" t="s">
        <v>26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40"/>
      <c r="AH32" s="15"/>
    </row>
    <row r="33" spans="1:34" ht="27.75" customHeight="1">
      <c r="A33" s="14" t="s">
        <v>27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40"/>
      <c r="AH33" s="15"/>
    </row>
    <row r="34" spans="1:34" ht="27.75" customHeight="1">
      <c r="A34" s="14" t="s">
        <v>18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40"/>
      <c r="AH34" s="9"/>
    </row>
    <row r="35" spans="1:34" ht="27.75" customHeight="1">
      <c r="A35" s="14" t="s">
        <v>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40"/>
      <c r="AH35" s="15"/>
    </row>
    <row r="36" spans="1:34" ht="27.75" customHeight="1">
      <c r="A36" s="14" t="s">
        <v>11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40"/>
      <c r="AH36" s="15"/>
    </row>
    <row r="37" spans="1:34" ht="27.75" customHeight="1">
      <c r="A37" s="14" t="s">
        <v>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40"/>
      <c r="AH37" s="15"/>
    </row>
    <row r="38" spans="1:34" ht="27.75" customHeight="1">
      <c r="A38" s="8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5" t="s">
        <v>29</v>
      </c>
      <c r="AH38" s="15"/>
    </row>
    <row r="39" spans="1:34" ht="27.75" customHeight="1">
      <c r="A39" s="8"/>
      <c r="B39" s="83">
        <f aca="true" t="shared" si="2" ref="B39:AF39">SUM(B28+B34+B35+B36+B37)</f>
        <v>0</v>
      </c>
      <c r="C39" s="83">
        <f t="shared" si="2"/>
        <v>0</v>
      </c>
      <c r="D39" s="83">
        <f t="shared" si="2"/>
        <v>0</v>
      </c>
      <c r="E39" s="83">
        <f t="shared" si="2"/>
        <v>0</v>
      </c>
      <c r="F39" s="83">
        <f t="shared" si="2"/>
        <v>0</v>
      </c>
      <c r="G39" s="83">
        <f t="shared" si="2"/>
        <v>0</v>
      </c>
      <c r="H39" s="83">
        <f t="shared" si="2"/>
        <v>0</v>
      </c>
      <c r="I39" s="83">
        <f t="shared" si="2"/>
        <v>0</v>
      </c>
      <c r="J39" s="83">
        <f t="shared" si="2"/>
        <v>0</v>
      </c>
      <c r="K39" s="83">
        <f t="shared" si="2"/>
        <v>0</v>
      </c>
      <c r="L39" s="83">
        <f t="shared" si="2"/>
        <v>0</v>
      </c>
      <c r="M39" s="83">
        <f t="shared" si="2"/>
        <v>0</v>
      </c>
      <c r="N39" s="83">
        <f t="shared" si="2"/>
        <v>0</v>
      </c>
      <c r="O39" s="83">
        <f t="shared" si="2"/>
        <v>0</v>
      </c>
      <c r="P39" s="83">
        <f t="shared" si="2"/>
        <v>0</v>
      </c>
      <c r="Q39" s="83">
        <f t="shared" si="2"/>
        <v>0</v>
      </c>
      <c r="R39" s="83">
        <f t="shared" si="2"/>
        <v>0</v>
      </c>
      <c r="S39" s="83">
        <f t="shared" si="2"/>
        <v>0</v>
      </c>
      <c r="T39" s="83">
        <f t="shared" si="2"/>
        <v>0</v>
      </c>
      <c r="U39" s="83">
        <f t="shared" si="2"/>
        <v>0</v>
      </c>
      <c r="V39" s="83">
        <f t="shared" si="2"/>
        <v>0</v>
      </c>
      <c r="W39" s="83">
        <f t="shared" si="2"/>
        <v>0</v>
      </c>
      <c r="X39" s="83">
        <f t="shared" si="2"/>
        <v>0</v>
      </c>
      <c r="Y39" s="83">
        <f t="shared" si="2"/>
        <v>0</v>
      </c>
      <c r="Z39" s="83">
        <f t="shared" si="2"/>
        <v>0</v>
      </c>
      <c r="AA39" s="83">
        <f t="shared" si="2"/>
        <v>0</v>
      </c>
      <c r="AB39" s="83">
        <f t="shared" si="2"/>
        <v>0</v>
      </c>
      <c r="AC39" s="83">
        <f t="shared" si="2"/>
        <v>0</v>
      </c>
      <c r="AD39" s="83">
        <f t="shared" si="2"/>
        <v>0</v>
      </c>
      <c r="AE39" s="83">
        <f t="shared" si="2"/>
        <v>0</v>
      </c>
      <c r="AF39" s="83">
        <f t="shared" si="2"/>
        <v>0</v>
      </c>
      <c r="AG39" s="35">
        <f>AVERAGE(B39:AF39)</f>
        <v>0</v>
      </c>
      <c r="AH39" s="15"/>
    </row>
    <row r="40" spans="1:34" ht="27.75" customHeight="1">
      <c r="A40" s="9" t="s">
        <v>12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40"/>
      <c r="AH40" s="15"/>
    </row>
    <row r="41" spans="1:34" ht="27.75" customHeight="1">
      <c r="A41" s="9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40"/>
      <c r="AH41" s="15"/>
    </row>
    <row r="42" spans="1:34" ht="27.75" customHeight="1">
      <c r="A42" s="8" t="s">
        <v>13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22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40"/>
      <c r="AH42" s="15"/>
    </row>
    <row r="43" spans="1:34" ht="27.75" customHeight="1">
      <c r="A43" s="8" t="s">
        <v>31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40">
        <f>SUM(B43:AF43)</f>
        <v>0</v>
      </c>
      <c r="AH43" s="15"/>
    </row>
    <row r="44" spans="1:34" ht="27.75" customHeight="1">
      <c r="A44" s="8" t="s">
        <v>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40"/>
      <c r="AH44" s="15"/>
    </row>
    <row r="45" spans="1:34" ht="27.75" customHeight="1">
      <c r="A45" s="8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40"/>
      <c r="AH45" s="15"/>
    </row>
    <row r="46" spans="1:34" ht="27.75" customHeight="1">
      <c r="A46" s="8" t="s">
        <v>14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40"/>
      <c r="AH46" s="15"/>
    </row>
    <row r="47" spans="1:34" ht="27.75" customHeight="1">
      <c r="A47" s="8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40"/>
      <c r="AH47" s="15"/>
    </row>
    <row r="48" spans="1:34" ht="27.75" customHeight="1">
      <c r="A48" s="8" t="s">
        <v>11</v>
      </c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40"/>
      <c r="AH48" s="15"/>
    </row>
    <row r="49" spans="1:34" ht="27.75" customHeight="1">
      <c r="A49" s="8"/>
      <c r="B49" s="107"/>
      <c r="C49" s="107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5" t="s">
        <v>29</v>
      </c>
      <c r="AH49" s="15"/>
    </row>
    <row r="50" spans="1:34" ht="27.75" customHeight="1">
      <c r="A50" s="8"/>
      <c r="B50" s="83">
        <f aca="true" t="shared" si="3" ref="B50:AD50">SUM(B42:B48)</f>
        <v>0</v>
      </c>
      <c r="C50" s="83">
        <f t="shared" si="3"/>
        <v>0</v>
      </c>
      <c r="D50" s="83">
        <f t="shared" si="3"/>
        <v>0</v>
      </c>
      <c r="E50" s="83">
        <f t="shared" si="3"/>
        <v>0</v>
      </c>
      <c r="F50" s="83">
        <f t="shared" si="3"/>
        <v>0</v>
      </c>
      <c r="G50" s="83">
        <f t="shared" si="3"/>
        <v>0</v>
      </c>
      <c r="H50" s="83">
        <f t="shared" si="3"/>
        <v>0</v>
      </c>
      <c r="I50" s="83">
        <v>4.6</v>
      </c>
      <c r="J50" s="83">
        <f t="shared" si="3"/>
        <v>0</v>
      </c>
      <c r="K50" s="83">
        <f t="shared" si="3"/>
        <v>0</v>
      </c>
      <c r="L50" s="83">
        <f t="shared" si="3"/>
        <v>0</v>
      </c>
      <c r="M50" s="83">
        <f t="shared" si="3"/>
        <v>0</v>
      </c>
      <c r="N50" s="83">
        <f t="shared" si="3"/>
        <v>0</v>
      </c>
      <c r="O50" s="83">
        <f t="shared" si="3"/>
        <v>0</v>
      </c>
      <c r="P50" s="83">
        <f t="shared" si="3"/>
        <v>0</v>
      </c>
      <c r="Q50" s="83">
        <f t="shared" si="3"/>
        <v>0</v>
      </c>
      <c r="R50" s="83">
        <f t="shared" si="3"/>
        <v>0</v>
      </c>
      <c r="S50" s="83">
        <f t="shared" si="3"/>
        <v>0</v>
      </c>
      <c r="T50" s="83">
        <f t="shared" si="3"/>
        <v>0</v>
      </c>
      <c r="U50" s="83">
        <f t="shared" si="3"/>
        <v>0</v>
      </c>
      <c r="V50" s="83">
        <f t="shared" si="3"/>
        <v>0</v>
      </c>
      <c r="W50" s="83">
        <f t="shared" si="3"/>
        <v>0</v>
      </c>
      <c r="X50" s="83">
        <f t="shared" si="3"/>
        <v>0</v>
      </c>
      <c r="Y50" s="83">
        <f t="shared" si="3"/>
        <v>0</v>
      </c>
      <c r="Z50" s="83">
        <f t="shared" si="3"/>
        <v>0</v>
      </c>
      <c r="AA50" s="83">
        <f t="shared" si="3"/>
        <v>0</v>
      </c>
      <c r="AB50" s="83">
        <f t="shared" si="3"/>
        <v>0</v>
      </c>
      <c r="AC50" s="83">
        <f t="shared" si="3"/>
        <v>0</v>
      </c>
      <c r="AD50" s="83">
        <f t="shared" si="3"/>
        <v>0</v>
      </c>
      <c r="AE50" s="83">
        <f>SUM(AE42:AE48)</f>
        <v>0</v>
      </c>
      <c r="AF50" s="83">
        <f>SUM(AF42:AF48)</f>
        <v>0</v>
      </c>
      <c r="AG50" s="35">
        <f>AVERAGE(B50:AF50)</f>
        <v>0.14838709677419354</v>
      </c>
      <c r="AH50" s="9"/>
    </row>
    <row r="51" spans="1:34" ht="27.75" customHeight="1">
      <c r="A51" s="9" t="s">
        <v>15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40"/>
      <c r="AH51" s="9"/>
    </row>
    <row r="52" spans="1:34" ht="27.75" customHeight="1">
      <c r="A52" s="8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40" t="s">
        <v>29</v>
      </c>
      <c r="AH52" s="15"/>
    </row>
    <row r="53" spans="1:34" ht="27.75" customHeight="1">
      <c r="A53" s="8" t="s">
        <v>4</v>
      </c>
      <c r="B53" s="83">
        <v>0.4</v>
      </c>
      <c r="C53" s="83">
        <v>0.3</v>
      </c>
      <c r="D53" s="83">
        <v>0.4</v>
      </c>
      <c r="E53" s="83">
        <v>0.5</v>
      </c>
      <c r="F53" s="83">
        <v>0.4</v>
      </c>
      <c r="G53" s="83">
        <v>0.6</v>
      </c>
      <c r="H53" s="83">
        <v>0.4</v>
      </c>
      <c r="I53" s="83">
        <v>0.4</v>
      </c>
      <c r="J53" s="83">
        <v>0.3</v>
      </c>
      <c r="K53" s="83">
        <v>0.4</v>
      </c>
      <c r="L53" s="83">
        <v>0.5</v>
      </c>
      <c r="M53" s="83">
        <v>0.5</v>
      </c>
      <c r="N53" s="83">
        <v>0.5</v>
      </c>
      <c r="O53" s="83">
        <v>0.5</v>
      </c>
      <c r="P53" s="83">
        <v>0.4</v>
      </c>
      <c r="Q53" s="83">
        <v>0.4</v>
      </c>
      <c r="R53" s="83">
        <v>0.4</v>
      </c>
      <c r="S53" s="83">
        <v>0.5</v>
      </c>
      <c r="T53" s="83">
        <v>0.5</v>
      </c>
      <c r="U53" s="83">
        <v>0.5</v>
      </c>
      <c r="V53" s="83">
        <v>0.5</v>
      </c>
      <c r="W53" s="83">
        <v>0.4</v>
      </c>
      <c r="X53" s="83">
        <v>0.4</v>
      </c>
      <c r="Y53" s="83">
        <v>0.4</v>
      </c>
      <c r="Z53" s="83">
        <v>0.5</v>
      </c>
      <c r="AA53" s="83">
        <v>0.6</v>
      </c>
      <c r="AB53" s="83">
        <v>0.5</v>
      </c>
      <c r="AC53" s="83">
        <v>0.5</v>
      </c>
      <c r="AD53" s="83">
        <v>0.4</v>
      </c>
      <c r="AE53" s="83">
        <v>0.3</v>
      </c>
      <c r="AF53" s="83">
        <v>0.4</v>
      </c>
      <c r="AG53" s="35">
        <f>AVERAGE(B53:AF53)</f>
        <v>0.4419354838709678</v>
      </c>
      <c r="AH53" s="15"/>
    </row>
    <row r="54" spans="1:34" ht="27.75" customHeight="1">
      <c r="A54" s="8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40"/>
      <c r="AH54" s="15"/>
    </row>
    <row r="55" spans="1:34" ht="27.75" customHeight="1">
      <c r="A55" s="8" t="s">
        <v>16</v>
      </c>
      <c r="B55" s="76">
        <f aca="true" t="shared" si="4" ref="B55:AD55">SUM(B12+B25+B39+B50+B53)</f>
        <v>0.4</v>
      </c>
      <c r="C55" s="76">
        <f t="shared" si="4"/>
        <v>0.3</v>
      </c>
      <c r="D55" s="76">
        <f t="shared" si="4"/>
        <v>0.4</v>
      </c>
      <c r="E55" s="76">
        <f t="shared" si="4"/>
        <v>0.5</v>
      </c>
      <c r="F55" s="76">
        <f t="shared" si="4"/>
        <v>0.4</v>
      </c>
      <c r="G55" s="76">
        <f t="shared" si="4"/>
        <v>0.6</v>
      </c>
      <c r="H55" s="76">
        <f t="shared" si="4"/>
        <v>0.4</v>
      </c>
      <c r="I55" s="76">
        <f t="shared" si="4"/>
        <v>5</v>
      </c>
      <c r="J55" s="76">
        <f t="shared" si="4"/>
        <v>0.3</v>
      </c>
      <c r="K55" s="76">
        <f t="shared" si="4"/>
        <v>0.4</v>
      </c>
      <c r="L55" s="76">
        <f t="shared" si="4"/>
        <v>0.5</v>
      </c>
      <c r="M55" s="76">
        <f t="shared" si="4"/>
        <v>0.5</v>
      </c>
      <c r="N55" s="76">
        <f t="shared" si="4"/>
        <v>0.5</v>
      </c>
      <c r="O55" s="76">
        <f t="shared" si="4"/>
        <v>0.5</v>
      </c>
      <c r="P55" s="76">
        <f t="shared" si="4"/>
        <v>0.4</v>
      </c>
      <c r="Q55" s="76">
        <f t="shared" si="4"/>
        <v>0.4</v>
      </c>
      <c r="R55" s="76">
        <f t="shared" si="4"/>
        <v>0.4</v>
      </c>
      <c r="S55" s="76">
        <f t="shared" si="4"/>
        <v>0.5</v>
      </c>
      <c r="T55" s="76">
        <f t="shared" si="4"/>
        <v>0.5</v>
      </c>
      <c r="U55" s="76">
        <f t="shared" si="4"/>
        <v>0.5</v>
      </c>
      <c r="V55" s="76">
        <f t="shared" si="4"/>
        <v>0.5</v>
      </c>
      <c r="W55" s="76">
        <f t="shared" si="4"/>
        <v>0.4</v>
      </c>
      <c r="X55" s="76">
        <f t="shared" si="4"/>
        <v>0.4</v>
      </c>
      <c r="Y55" s="76">
        <f t="shared" si="4"/>
        <v>0.4</v>
      </c>
      <c r="Z55" s="76">
        <f t="shared" si="4"/>
        <v>0.5</v>
      </c>
      <c r="AA55" s="76">
        <f t="shared" si="4"/>
        <v>0.6</v>
      </c>
      <c r="AB55" s="76">
        <f t="shared" si="4"/>
        <v>0.5</v>
      </c>
      <c r="AC55" s="76">
        <f t="shared" si="4"/>
        <v>0.5</v>
      </c>
      <c r="AD55" s="76">
        <f t="shared" si="4"/>
        <v>0.4</v>
      </c>
      <c r="AE55" s="76">
        <f>SUM(AE12+AE25+AE39+AE50+AE53)</f>
        <v>0.3</v>
      </c>
      <c r="AF55" s="76">
        <f>SUM(AF12+AF25+AF39+AF50+AF53)</f>
        <v>0.4</v>
      </c>
      <c r="AG55" s="40"/>
      <c r="AH55" s="15"/>
    </row>
    <row r="56" spans="1:34" ht="27.75" customHeight="1">
      <c r="A56" s="8"/>
      <c r="B56" s="76"/>
      <c r="C56" s="79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40"/>
      <c r="AH56" s="15"/>
    </row>
    <row r="57" spans="1:34" ht="27.75" customHeight="1">
      <c r="A57" s="8" t="s">
        <v>17</v>
      </c>
      <c r="B57" s="97">
        <f aca="true" t="shared" si="5" ref="B57:AF57">-SUM(B21+B23+B36+B37+B46+B48)</f>
        <v>0</v>
      </c>
      <c r="C57" s="97">
        <f t="shared" si="5"/>
        <v>0</v>
      </c>
      <c r="D57" s="97">
        <f t="shared" si="5"/>
        <v>0</v>
      </c>
      <c r="E57" s="97">
        <f t="shared" si="5"/>
        <v>0</v>
      </c>
      <c r="F57" s="97">
        <f t="shared" si="5"/>
        <v>0</v>
      </c>
      <c r="G57" s="97">
        <f t="shared" si="5"/>
        <v>0</v>
      </c>
      <c r="H57" s="97">
        <f t="shared" si="5"/>
        <v>0</v>
      </c>
      <c r="I57" s="97">
        <f t="shared" si="5"/>
        <v>0</v>
      </c>
      <c r="J57" s="97">
        <f t="shared" si="5"/>
        <v>0</v>
      </c>
      <c r="K57" s="97">
        <f t="shared" si="5"/>
        <v>0</v>
      </c>
      <c r="L57" s="97">
        <f>-SUM(L21+L23+L36+L37+L46+L48)</f>
        <v>0</v>
      </c>
      <c r="M57" s="97">
        <f t="shared" si="5"/>
        <v>0</v>
      </c>
      <c r="N57" s="97">
        <f t="shared" si="5"/>
        <v>0</v>
      </c>
      <c r="O57" s="97">
        <f t="shared" si="5"/>
        <v>0</v>
      </c>
      <c r="P57" s="97">
        <f t="shared" si="5"/>
        <v>0</v>
      </c>
      <c r="Q57" s="97">
        <f t="shared" si="5"/>
        <v>0</v>
      </c>
      <c r="R57" s="97">
        <f t="shared" si="5"/>
        <v>0</v>
      </c>
      <c r="S57" s="97">
        <f t="shared" si="5"/>
        <v>0</v>
      </c>
      <c r="T57" s="97">
        <f t="shared" si="5"/>
        <v>0</v>
      </c>
      <c r="U57" s="97">
        <f t="shared" si="5"/>
        <v>0</v>
      </c>
      <c r="V57" s="97">
        <f t="shared" si="5"/>
        <v>0</v>
      </c>
      <c r="W57" s="97">
        <f t="shared" si="5"/>
        <v>0</v>
      </c>
      <c r="X57" s="97">
        <f t="shared" si="5"/>
        <v>0</v>
      </c>
      <c r="Y57" s="97">
        <f t="shared" si="5"/>
        <v>0</v>
      </c>
      <c r="Z57" s="97">
        <f t="shared" si="5"/>
        <v>0</v>
      </c>
      <c r="AA57" s="97">
        <f t="shared" si="5"/>
        <v>0</v>
      </c>
      <c r="AB57" s="97">
        <f t="shared" si="5"/>
        <v>0</v>
      </c>
      <c r="AC57" s="97">
        <f t="shared" si="5"/>
        <v>0</v>
      </c>
      <c r="AD57" s="97">
        <f t="shared" si="5"/>
        <v>0</v>
      </c>
      <c r="AE57" s="97">
        <f t="shared" si="5"/>
        <v>0</v>
      </c>
      <c r="AF57" s="97">
        <f t="shared" si="5"/>
        <v>0</v>
      </c>
      <c r="AG57" s="40"/>
      <c r="AH57" s="15"/>
    </row>
    <row r="58" spans="1:34" ht="27.75" customHeight="1">
      <c r="A58" s="8"/>
      <c r="B58" s="76"/>
      <c r="C58" s="76"/>
      <c r="D58" s="90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105" t="s">
        <v>29</v>
      </c>
      <c r="AH58" s="15"/>
    </row>
    <row r="59" spans="1:34" ht="27.75" customHeight="1" thickBot="1">
      <c r="A59" s="9" t="s">
        <v>22</v>
      </c>
      <c r="B59" s="78">
        <f aca="true" t="shared" si="6" ref="B59:AF59">SUM(B55:B57)</f>
        <v>0.4</v>
      </c>
      <c r="C59" s="78">
        <f t="shared" si="6"/>
        <v>0.3</v>
      </c>
      <c r="D59" s="78">
        <f t="shared" si="6"/>
        <v>0.4</v>
      </c>
      <c r="E59" s="78">
        <f t="shared" si="6"/>
        <v>0.5</v>
      </c>
      <c r="F59" s="78">
        <f t="shared" si="6"/>
        <v>0.4</v>
      </c>
      <c r="G59" s="78">
        <f t="shared" si="6"/>
        <v>0.6</v>
      </c>
      <c r="H59" s="78">
        <f t="shared" si="6"/>
        <v>0.4</v>
      </c>
      <c r="I59" s="78">
        <f t="shared" si="6"/>
        <v>5</v>
      </c>
      <c r="J59" s="78">
        <f t="shared" si="6"/>
        <v>0.3</v>
      </c>
      <c r="K59" s="78">
        <f t="shared" si="6"/>
        <v>0.4</v>
      </c>
      <c r="L59" s="78">
        <f t="shared" si="6"/>
        <v>0.5</v>
      </c>
      <c r="M59" s="78">
        <f t="shared" si="6"/>
        <v>0.5</v>
      </c>
      <c r="N59" s="78">
        <f t="shared" si="6"/>
        <v>0.5</v>
      </c>
      <c r="O59" s="78">
        <f t="shared" si="6"/>
        <v>0.5</v>
      </c>
      <c r="P59" s="78">
        <f t="shared" si="6"/>
        <v>0.4</v>
      </c>
      <c r="Q59" s="78">
        <f t="shared" si="6"/>
        <v>0.4</v>
      </c>
      <c r="R59" s="78">
        <f t="shared" si="6"/>
        <v>0.4</v>
      </c>
      <c r="S59" s="78">
        <f t="shared" si="6"/>
        <v>0.5</v>
      </c>
      <c r="T59" s="78">
        <f t="shared" si="6"/>
        <v>0.5</v>
      </c>
      <c r="U59" s="78">
        <f t="shared" si="6"/>
        <v>0.5</v>
      </c>
      <c r="V59" s="78">
        <f t="shared" si="6"/>
        <v>0.5</v>
      </c>
      <c r="W59" s="78">
        <f t="shared" si="6"/>
        <v>0.4</v>
      </c>
      <c r="X59" s="78">
        <f t="shared" si="6"/>
        <v>0.4</v>
      </c>
      <c r="Y59" s="78">
        <f t="shared" si="6"/>
        <v>0.4</v>
      </c>
      <c r="Z59" s="78">
        <f t="shared" si="6"/>
        <v>0.5</v>
      </c>
      <c r="AA59" s="78">
        <f t="shared" si="6"/>
        <v>0.6</v>
      </c>
      <c r="AB59" s="78">
        <f t="shared" si="6"/>
        <v>0.5</v>
      </c>
      <c r="AC59" s="78">
        <f t="shared" si="6"/>
        <v>0.5</v>
      </c>
      <c r="AD59" s="78">
        <f t="shared" si="6"/>
        <v>0.4</v>
      </c>
      <c r="AE59" s="78">
        <f t="shared" si="6"/>
        <v>0.3</v>
      </c>
      <c r="AF59" s="78">
        <f t="shared" si="6"/>
        <v>0.4</v>
      </c>
      <c r="AG59" s="41">
        <f>AVERAGE(B59:AF59)</f>
        <v>0.5903225806451613</v>
      </c>
      <c r="AH59" s="15"/>
    </row>
    <row r="60" spans="1:34" ht="27.75" customHeight="1">
      <c r="A60" s="9"/>
      <c r="B60" s="22"/>
      <c r="C60" s="25"/>
      <c r="D60" s="25"/>
      <c r="E60" s="25"/>
      <c r="F60" s="25"/>
      <c r="G60" s="25"/>
      <c r="H60" s="18"/>
      <c r="I60" s="12"/>
      <c r="J60" s="12"/>
      <c r="K60" s="12"/>
      <c r="L60" s="12"/>
      <c r="M60" s="12"/>
      <c r="N60" s="12"/>
      <c r="O60" s="12"/>
      <c r="P60" s="12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44"/>
      <c r="AH60" s="15"/>
    </row>
    <row r="61" spans="1:33" ht="27.75" customHeight="1">
      <c r="A61" s="8" t="s">
        <v>20</v>
      </c>
      <c r="B61" s="14"/>
      <c r="C61" s="14"/>
      <c r="D61" s="14"/>
      <c r="E61" s="14"/>
      <c r="F61" s="14"/>
      <c r="G61" s="14"/>
      <c r="H61" s="14"/>
      <c r="I61" s="17"/>
      <c r="J61" s="17"/>
      <c r="K61" s="17"/>
      <c r="L61" s="17"/>
      <c r="M61" s="17"/>
      <c r="N61" s="17"/>
      <c r="O61" s="17"/>
      <c r="P61" s="17"/>
      <c r="Q61" s="18"/>
      <c r="R61" s="18"/>
      <c r="S61" s="14"/>
      <c r="T61" s="14"/>
      <c r="U61" s="14"/>
      <c r="V61" s="14"/>
      <c r="W61" s="14"/>
      <c r="X61" s="14"/>
      <c r="Y61" s="14"/>
      <c r="Z61" s="17"/>
      <c r="AA61" s="17"/>
      <c r="AB61" s="17"/>
      <c r="AC61" s="17"/>
      <c r="AD61" s="17"/>
      <c r="AE61" s="17"/>
      <c r="AF61" s="17"/>
      <c r="AG61" s="47"/>
    </row>
    <row r="62" spans="1:34" ht="23.25">
      <c r="A62" s="15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44"/>
      <c r="AH62" s="9"/>
    </row>
    <row r="63" spans="1:34" ht="23.25">
      <c r="A63" s="8"/>
      <c r="B63" s="8"/>
      <c r="C63" s="8"/>
      <c r="D63" s="8"/>
      <c r="E63" s="8"/>
      <c r="F63" s="8"/>
      <c r="G63" s="8"/>
      <c r="H63" s="8"/>
      <c r="I63" s="13"/>
      <c r="J63" s="13"/>
      <c r="K63" s="13"/>
      <c r="L63" s="13"/>
      <c r="M63" s="13"/>
      <c r="N63" s="13"/>
      <c r="O63" s="13"/>
      <c r="P63" s="13"/>
      <c r="Q63" s="7"/>
      <c r="R63" s="7"/>
      <c r="S63" s="8"/>
      <c r="T63" s="8"/>
      <c r="U63" s="8"/>
      <c r="V63" s="8"/>
      <c r="W63" s="8"/>
      <c r="X63" s="8"/>
      <c r="Y63" s="8"/>
      <c r="Z63" s="13"/>
      <c r="AA63" s="13"/>
      <c r="AB63" s="13"/>
      <c r="AC63" s="13"/>
      <c r="AD63" s="13"/>
      <c r="AE63" s="13"/>
      <c r="AF63" s="13"/>
      <c r="AG63" s="46"/>
      <c r="AH63" s="15"/>
    </row>
  </sheetData>
  <sheetProtection/>
  <printOptions/>
  <pageMargins left="0.5" right="0.6" top="0.49" bottom="0.5" header="0.5" footer="0.5"/>
  <pageSetup horizontalDpi="300" verticalDpi="300" orientation="landscape" scale="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3"/>
  <sheetViews>
    <sheetView zoomScale="55" zoomScaleNormal="55" zoomScalePageLayoutView="0" workbookViewId="0" topLeftCell="A1">
      <pane xSplit="1" ySplit="5" topLeftCell="K3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:AE41"/>
    </sheetView>
  </sheetViews>
  <sheetFormatPr defaultColWidth="8.88671875" defaultRowHeight="15"/>
  <cols>
    <col min="1" max="1" width="32.77734375" style="15" customWidth="1"/>
    <col min="2" max="4" width="9.21484375" style="15" bestFit="1" customWidth="1"/>
    <col min="5" max="5" width="12.88671875" style="15" bestFit="1" customWidth="1"/>
    <col min="6" max="6" width="9.3359375" style="15" bestFit="1" customWidth="1"/>
    <col min="7" max="13" width="9.21484375" style="15" bestFit="1" customWidth="1"/>
    <col min="14" max="26" width="9.4453125" style="15" bestFit="1" customWidth="1"/>
    <col min="27" max="27" width="9.4453125" style="15" customWidth="1"/>
    <col min="28" max="31" width="9.4453125" style="15" bestFit="1" customWidth="1"/>
    <col min="32" max="32" width="10.3359375" style="37" bestFit="1" customWidth="1"/>
    <col min="33" max="16384" width="8.88671875" style="15" customWidth="1"/>
  </cols>
  <sheetData>
    <row r="1" spans="1:32" ht="23.25">
      <c r="A1" s="48" t="s">
        <v>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71"/>
    </row>
    <row r="2" spans="1:32" ht="23.25">
      <c r="A2" s="48">
        <v>41365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71"/>
    </row>
    <row r="3" spans="1:32" ht="23.25">
      <c r="A3" s="50" t="s">
        <v>21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  <c r="AA3" s="50"/>
      <c r="AB3" s="109"/>
      <c r="AC3" s="109"/>
      <c r="AD3" s="109"/>
      <c r="AE3" s="109"/>
      <c r="AF3" s="51"/>
    </row>
    <row r="4" spans="1:35" ht="23.25">
      <c r="A4" s="52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53"/>
      <c r="AG4" s="25"/>
      <c r="AH4" s="25"/>
      <c r="AI4" s="25"/>
    </row>
    <row r="5" spans="1:32" ht="23.25">
      <c r="A5" s="54"/>
      <c r="B5" s="117">
        <v>1</v>
      </c>
      <c r="C5" s="117">
        <v>2</v>
      </c>
      <c r="D5" s="117">
        <v>3</v>
      </c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8">
        <v>16</v>
      </c>
      <c r="R5" s="118">
        <v>17</v>
      </c>
      <c r="S5" s="119">
        <v>18</v>
      </c>
      <c r="T5" s="119">
        <v>19</v>
      </c>
      <c r="U5" s="119">
        <v>20</v>
      </c>
      <c r="V5" s="119">
        <v>21</v>
      </c>
      <c r="W5" s="119">
        <v>22</v>
      </c>
      <c r="X5" s="119">
        <v>23</v>
      </c>
      <c r="Y5" s="119">
        <v>24</v>
      </c>
      <c r="Z5" s="118">
        <v>25</v>
      </c>
      <c r="AA5" s="118">
        <v>26</v>
      </c>
      <c r="AB5" s="118">
        <v>27</v>
      </c>
      <c r="AC5" s="118">
        <v>28</v>
      </c>
      <c r="AD5" s="118">
        <v>29</v>
      </c>
      <c r="AE5" s="118">
        <v>30</v>
      </c>
      <c r="AF5" s="55"/>
    </row>
    <row r="6" spans="1:32" ht="23.25">
      <c r="A6" s="56" t="s">
        <v>0</v>
      </c>
      <c r="B6" s="58"/>
      <c r="C6" s="58"/>
      <c r="D6" s="58"/>
      <c r="E6" s="58"/>
      <c r="F6" s="58"/>
      <c r="G6" s="58"/>
      <c r="H6" s="58"/>
      <c r="I6" s="110"/>
      <c r="J6" s="110"/>
      <c r="K6" s="110"/>
      <c r="L6" s="110"/>
      <c r="M6" s="110"/>
      <c r="N6" s="110"/>
      <c r="O6" s="110"/>
      <c r="P6" s="110"/>
      <c r="Q6" s="26"/>
      <c r="R6" s="26"/>
      <c r="S6" s="60"/>
      <c r="T6" s="60"/>
      <c r="U6" s="60"/>
      <c r="V6" s="60"/>
      <c r="W6" s="60"/>
      <c r="X6" s="60"/>
      <c r="Y6" s="60"/>
      <c r="Z6" s="26"/>
      <c r="AA6" s="26"/>
      <c r="AB6" s="26"/>
      <c r="AC6" s="26"/>
      <c r="AD6" s="26"/>
      <c r="AE6" s="26"/>
      <c r="AF6" s="36"/>
    </row>
    <row r="7" spans="1:32" ht="23.25">
      <c r="A7" s="54" t="s">
        <v>1</v>
      </c>
      <c r="B7" s="137">
        <v>0</v>
      </c>
      <c r="C7" s="137">
        <v>0</v>
      </c>
      <c r="D7" s="137">
        <v>0</v>
      </c>
      <c r="E7" s="137">
        <v>0</v>
      </c>
      <c r="F7" s="137">
        <v>0</v>
      </c>
      <c r="G7" s="137">
        <v>0</v>
      </c>
      <c r="H7" s="137">
        <v>0</v>
      </c>
      <c r="I7" s="137">
        <v>0</v>
      </c>
      <c r="J7" s="137">
        <v>0</v>
      </c>
      <c r="K7" s="137">
        <v>0</v>
      </c>
      <c r="L7" s="137">
        <v>0</v>
      </c>
      <c r="M7" s="137">
        <v>0</v>
      </c>
      <c r="N7" s="137">
        <v>0</v>
      </c>
      <c r="O7" s="137">
        <v>0</v>
      </c>
      <c r="P7" s="137">
        <v>0</v>
      </c>
      <c r="Q7" s="137">
        <v>0</v>
      </c>
      <c r="R7" s="137">
        <v>0</v>
      </c>
      <c r="S7" s="137">
        <v>0</v>
      </c>
      <c r="T7" s="137">
        <v>0</v>
      </c>
      <c r="U7" s="137">
        <v>0</v>
      </c>
      <c r="V7" s="137">
        <v>0</v>
      </c>
      <c r="W7" s="137">
        <v>0</v>
      </c>
      <c r="X7" s="137">
        <v>0</v>
      </c>
      <c r="Y7" s="137">
        <v>0</v>
      </c>
      <c r="Z7" s="137">
        <v>0</v>
      </c>
      <c r="AA7" s="137">
        <v>0</v>
      </c>
      <c r="AB7" s="137">
        <v>0</v>
      </c>
      <c r="AC7" s="137">
        <v>0</v>
      </c>
      <c r="AD7" s="137">
        <v>0</v>
      </c>
      <c r="AE7" s="137">
        <v>0</v>
      </c>
      <c r="AF7" s="142"/>
    </row>
    <row r="8" spans="1:33" ht="23.25">
      <c r="A8" s="54" t="s">
        <v>2</v>
      </c>
      <c r="B8" s="137">
        <v>15.4</v>
      </c>
      <c r="C8" s="137">
        <v>15.5</v>
      </c>
      <c r="D8" s="137">
        <v>15.2</v>
      </c>
      <c r="E8" s="137">
        <f>16.01-0.367</f>
        <v>15.643</v>
      </c>
      <c r="F8" s="137">
        <v>15</v>
      </c>
      <c r="G8" s="137">
        <v>14.9</v>
      </c>
      <c r="H8" s="137">
        <v>15.1</v>
      </c>
      <c r="I8" s="137">
        <v>15.5</v>
      </c>
      <c r="J8" s="137">
        <v>16.5</v>
      </c>
      <c r="K8" s="137">
        <v>17.6</v>
      </c>
      <c r="L8" s="137">
        <v>17.6</v>
      </c>
      <c r="M8" s="137">
        <v>15.1</v>
      </c>
      <c r="N8" s="137">
        <v>15</v>
      </c>
      <c r="O8" s="137">
        <v>15.2</v>
      </c>
      <c r="P8" s="137">
        <v>15.1</v>
      </c>
      <c r="Q8" s="137">
        <v>16.3</v>
      </c>
      <c r="R8" s="137">
        <v>16.1</v>
      </c>
      <c r="S8" s="137">
        <v>16.5</v>
      </c>
      <c r="T8" s="137">
        <v>15.6</v>
      </c>
      <c r="U8" s="137">
        <v>15</v>
      </c>
      <c r="V8" s="137">
        <v>15</v>
      </c>
      <c r="W8" s="137">
        <v>15.4</v>
      </c>
      <c r="X8" s="160">
        <v>16.1</v>
      </c>
      <c r="Y8" s="160">
        <v>17.9</v>
      </c>
      <c r="Z8" s="160">
        <v>15.5</v>
      </c>
      <c r="AA8" s="160">
        <v>16.1</v>
      </c>
      <c r="AB8" s="160">
        <v>16</v>
      </c>
      <c r="AC8" s="160">
        <v>15.5</v>
      </c>
      <c r="AD8" s="160">
        <v>15.7</v>
      </c>
      <c r="AE8" s="160">
        <v>15.4</v>
      </c>
      <c r="AF8" s="142"/>
      <c r="AG8" s="15" t="s">
        <v>34</v>
      </c>
    </row>
    <row r="9" spans="1:32" ht="23.25">
      <c r="A9" s="54"/>
      <c r="B9" s="151">
        <f aca="true" t="shared" si="0" ref="B9:AE9">SUM(B7:B8)</f>
        <v>15.4</v>
      </c>
      <c r="C9" s="151">
        <f t="shared" si="0"/>
        <v>15.5</v>
      </c>
      <c r="D9" s="151">
        <f t="shared" si="0"/>
        <v>15.2</v>
      </c>
      <c r="E9" s="151">
        <f t="shared" si="0"/>
        <v>15.643</v>
      </c>
      <c r="F9" s="151">
        <f t="shared" si="0"/>
        <v>15</v>
      </c>
      <c r="G9" s="151">
        <f t="shared" si="0"/>
        <v>14.9</v>
      </c>
      <c r="H9" s="151">
        <f t="shared" si="0"/>
        <v>15.1</v>
      </c>
      <c r="I9" s="151">
        <f t="shared" si="0"/>
        <v>15.5</v>
      </c>
      <c r="J9" s="151">
        <f t="shared" si="0"/>
        <v>16.5</v>
      </c>
      <c r="K9" s="151">
        <f t="shared" si="0"/>
        <v>17.6</v>
      </c>
      <c r="L9" s="151">
        <f t="shared" si="0"/>
        <v>17.6</v>
      </c>
      <c r="M9" s="151">
        <f t="shared" si="0"/>
        <v>15.1</v>
      </c>
      <c r="N9" s="151">
        <f t="shared" si="0"/>
        <v>15</v>
      </c>
      <c r="O9" s="151">
        <f t="shared" si="0"/>
        <v>15.2</v>
      </c>
      <c r="P9" s="151">
        <f t="shared" si="0"/>
        <v>15.1</v>
      </c>
      <c r="Q9" s="151">
        <f t="shared" si="0"/>
        <v>16.3</v>
      </c>
      <c r="R9" s="151">
        <f t="shared" si="0"/>
        <v>16.1</v>
      </c>
      <c r="S9" s="151">
        <f t="shared" si="0"/>
        <v>16.5</v>
      </c>
      <c r="T9" s="151">
        <f t="shared" si="0"/>
        <v>15.6</v>
      </c>
      <c r="U9" s="151">
        <f t="shared" si="0"/>
        <v>15</v>
      </c>
      <c r="V9" s="151">
        <f t="shared" si="0"/>
        <v>15</v>
      </c>
      <c r="W9" s="151">
        <f t="shared" si="0"/>
        <v>15.4</v>
      </c>
      <c r="X9" s="151">
        <f t="shared" si="0"/>
        <v>16.1</v>
      </c>
      <c r="Y9" s="151">
        <f t="shared" si="0"/>
        <v>17.9</v>
      </c>
      <c r="Z9" s="151">
        <f t="shared" si="0"/>
        <v>15.5</v>
      </c>
      <c r="AA9" s="151">
        <f t="shared" si="0"/>
        <v>16.1</v>
      </c>
      <c r="AB9" s="151">
        <f t="shared" si="0"/>
        <v>16</v>
      </c>
      <c r="AC9" s="151">
        <f t="shared" si="0"/>
        <v>15.5</v>
      </c>
      <c r="AD9" s="151">
        <f t="shared" si="0"/>
        <v>15.7</v>
      </c>
      <c r="AE9" s="151">
        <f t="shared" si="0"/>
        <v>15.4</v>
      </c>
      <c r="AF9" s="152">
        <f>AVERAGE(B9:AE9)</f>
        <v>15.748099999999999</v>
      </c>
    </row>
    <row r="10" spans="1:32" ht="23.25">
      <c r="A10" s="56" t="s">
        <v>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42"/>
    </row>
    <row r="11" spans="1:32" ht="23.25">
      <c r="A11" s="54" t="s">
        <v>19</v>
      </c>
      <c r="B11" s="158">
        <v>13.525</v>
      </c>
      <c r="C11" s="158">
        <v>14.019</v>
      </c>
      <c r="D11" s="158">
        <v>13.648</v>
      </c>
      <c r="E11" s="158">
        <v>14.868</v>
      </c>
      <c r="F11" s="158">
        <v>13.334</v>
      </c>
      <c r="G11" s="158">
        <v>13.736</v>
      </c>
      <c r="H11" s="158">
        <v>12.859</v>
      </c>
      <c r="I11" s="158">
        <v>14.599</v>
      </c>
      <c r="J11" s="158">
        <v>14.09</v>
      </c>
      <c r="K11" s="158">
        <v>14.904</v>
      </c>
      <c r="L11" s="158">
        <f>14.698-0.007</f>
        <v>14.691</v>
      </c>
      <c r="M11" s="158">
        <f>14.544-0.346</f>
        <v>14.198</v>
      </c>
      <c r="N11" s="158">
        <f>13.896-0.37</f>
        <v>13.526000000000002</v>
      </c>
      <c r="O11" s="158">
        <f>13.741-0.394</f>
        <v>13.347</v>
      </c>
      <c r="P11" s="158">
        <f>14.629-0.355</f>
        <v>14.274</v>
      </c>
      <c r="Q11" s="158">
        <f>15.121-0.349</f>
        <v>14.772</v>
      </c>
      <c r="R11" s="158">
        <f>14.747-0.321</f>
        <v>14.426</v>
      </c>
      <c r="S11" s="158">
        <f>12.11-0.349</f>
        <v>11.761</v>
      </c>
      <c r="T11" s="158">
        <f>14.71-0.412</f>
        <v>14.298</v>
      </c>
      <c r="U11" s="158">
        <f>14.429-0.403</f>
        <v>14.026</v>
      </c>
      <c r="V11" s="158">
        <f>12.714-0.494</f>
        <v>12.22</v>
      </c>
      <c r="W11" s="158">
        <f>15.182-0.414</f>
        <v>14.768</v>
      </c>
      <c r="X11" s="158">
        <f>13.02-0.268</f>
        <v>12.751999999999999</v>
      </c>
      <c r="Y11" s="158">
        <f>14.854-0.897</f>
        <v>13.956999999999999</v>
      </c>
      <c r="Z11" s="158">
        <f>14.437-0.334</f>
        <v>14.103</v>
      </c>
      <c r="AA11" s="158">
        <f>15.77-0.334</f>
        <v>15.436</v>
      </c>
      <c r="AB11" s="158">
        <f>18.476-0.737</f>
        <v>17.739</v>
      </c>
      <c r="AC11" s="158">
        <f>15.268-0.205</f>
        <v>15.063</v>
      </c>
      <c r="AD11" s="158">
        <f>16.027-0.265</f>
        <v>15.762</v>
      </c>
      <c r="AE11" s="158">
        <f>14.3-0.43</f>
        <v>13.870000000000001</v>
      </c>
      <c r="AF11" s="142"/>
    </row>
    <row r="12" spans="1:32" ht="23.25">
      <c r="A12" s="57" t="s">
        <v>28</v>
      </c>
      <c r="B12" s="158">
        <v>0</v>
      </c>
      <c r="C12" s="158">
        <v>0</v>
      </c>
      <c r="D12" s="158">
        <v>0</v>
      </c>
      <c r="E12" s="158">
        <v>0</v>
      </c>
      <c r="F12" s="158">
        <v>0</v>
      </c>
      <c r="G12" s="158">
        <v>0</v>
      </c>
      <c r="H12" s="158">
        <v>0</v>
      </c>
      <c r="I12" s="158">
        <v>0</v>
      </c>
      <c r="J12" s="158">
        <v>0</v>
      </c>
      <c r="K12" s="158">
        <v>0</v>
      </c>
      <c r="L12" s="158">
        <v>0.007</v>
      </c>
      <c r="M12" s="158">
        <v>-0.346</v>
      </c>
      <c r="N12" s="158">
        <v>-0.37</v>
      </c>
      <c r="O12" s="158">
        <v>-0.394</v>
      </c>
      <c r="P12" s="158">
        <v>-0.355</v>
      </c>
      <c r="Q12" s="158">
        <v>-0.349</v>
      </c>
      <c r="R12" s="158">
        <v>-0.321</v>
      </c>
      <c r="S12" s="158">
        <v>-0.349</v>
      </c>
      <c r="T12" s="159">
        <v>-0.412</v>
      </c>
      <c r="U12" s="158">
        <v>-0.403</v>
      </c>
      <c r="V12" s="158">
        <v>-0.494</v>
      </c>
      <c r="W12" s="158">
        <v>-0.414</v>
      </c>
      <c r="X12" s="158">
        <v>-0.268</v>
      </c>
      <c r="Y12" s="158">
        <v>-0.897</v>
      </c>
      <c r="Z12" s="158">
        <v>-0.334</v>
      </c>
      <c r="AA12" s="158">
        <v>-0.334</v>
      </c>
      <c r="AB12" s="158">
        <v>-0.737</v>
      </c>
      <c r="AC12" s="158">
        <v>-0.205</v>
      </c>
      <c r="AD12" s="158">
        <v>-0.265</v>
      </c>
      <c r="AE12" s="158">
        <v>-0.43</v>
      </c>
      <c r="AF12" s="142"/>
    </row>
    <row r="13" spans="1:32" ht="23.25">
      <c r="A13" s="54" t="s">
        <v>5</v>
      </c>
      <c r="B13" s="158">
        <v>2.988</v>
      </c>
      <c r="C13" s="158">
        <v>2.88</v>
      </c>
      <c r="D13" s="158">
        <v>2.981</v>
      </c>
      <c r="E13" s="158">
        <v>2.948</v>
      </c>
      <c r="F13" s="158">
        <v>2.982</v>
      </c>
      <c r="G13" s="158">
        <v>2.973</v>
      </c>
      <c r="H13" s="158">
        <v>2.972</v>
      </c>
      <c r="I13" s="158">
        <v>3.016</v>
      </c>
      <c r="J13" s="158">
        <v>2.99</v>
      </c>
      <c r="K13" s="158">
        <v>2.956</v>
      </c>
      <c r="L13" s="158">
        <v>2.907</v>
      </c>
      <c r="M13" s="158">
        <v>2.896</v>
      </c>
      <c r="N13" s="158">
        <v>2.965</v>
      </c>
      <c r="O13" s="158">
        <v>2.95</v>
      </c>
      <c r="P13" s="158">
        <v>2.916</v>
      </c>
      <c r="Q13" s="158">
        <v>2.924</v>
      </c>
      <c r="R13" s="158">
        <v>2.916</v>
      </c>
      <c r="S13" s="158">
        <v>2.963</v>
      </c>
      <c r="T13" s="158">
        <v>2.919</v>
      </c>
      <c r="U13" s="158">
        <v>1.109</v>
      </c>
      <c r="V13" s="158">
        <v>4.507</v>
      </c>
      <c r="W13" s="158">
        <v>2.862</v>
      </c>
      <c r="X13" s="158">
        <v>2.85</v>
      </c>
      <c r="Y13" s="158">
        <v>3.351</v>
      </c>
      <c r="Z13" s="158">
        <v>2.77</v>
      </c>
      <c r="AA13" s="158">
        <v>2.837</v>
      </c>
      <c r="AB13" s="158">
        <v>2.907</v>
      </c>
      <c r="AC13" s="158">
        <v>2.762</v>
      </c>
      <c r="AD13" s="158">
        <v>2.863</v>
      </c>
      <c r="AE13" s="158">
        <v>2.86</v>
      </c>
      <c r="AF13" s="142"/>
    </row>
    <row r="14" spans="1:32" ht="23.25">
      <c r="A14" s="54" t="s">
        <v>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2"/>
    </row>
    <row r="15" spans="1:32" ht="23.25">
      <c r="A15" s="54" t="s">
        <v>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2"/>
    </row>
    <row r="16" spans="1:32" ht="23.25">
      <c r="A16" s="54"/>
      <c r="B16" s="151">
        <f aca="true" t="shared" si="1" ref="B16:AE16">SUM(B11:B15)</f>
        <v>16.513</v>
      </c>
      <c r="C16" s="151">
        <f t="shared" si="1"/>
        <v>16.899</v>
      </c>
      <c r="D16" s="151">
        <f t="shared" si="1"/>
        <v>16.628999999999998</v>
      </c>
      <c r="E16" s="151">
        <f t="shared" si="1"/>
        <v>17.816</v>
      </c>
      <c r="F16" s="151">
        <f t="shared" si="1"/>
        <v>16.316</v>
      </c>
      <c r="G16" s="151">
        <f t="shared" si="1"/>
        <v>16.709</v>
      </c>
      <c r="H16" s="151">
        <f t="shared" si="1"/>
        <v>15.831</v>
      </c>
      <c r="I16" s="151">
        <f t="shared" si="1"/>
        <v>17.615000000000002</v>
      </c>
      <c r="J16" s="151">
        <f t="shared" si="1"/>
        <v>17.08</v>
      </c>
      <c r="K16" s="151">
        <f t="shared" si="1"/>
        <v>17.86</v>
      </c>
      <c r="L16" s="151">
        <f t="shared" si="1"/>
        <v>17.605</v>
      </c>
      <c r="M16" s="151">
        <f t="shared" si="1"/>
        <v>16.748</v>
      </c>
      <c r="N16" s="151">
        <f t="shared" si="1"/>
        <v>16.121000000000002</v>
      </c>
      <c r="O16" s="151">
        <f t="shared" si="1"/>
        <v>15.902999999999999</v>
      </c>
      <c r="P16" s="151">
        <f t="shared" si="1"/>
        <v>16.834999999999997</v>
      </c>
      <c r="Q16" s="151">
        <f t="shared" si="1"/>
        <v>17.347</v>
      </c>
      <c r="R16" s="151">
        <f t="shared" si="1"/>
        <v>17.021</v>
      </c>
      <c r="S16" s="151">
        <f t="shared" si="1"/>
        <v>14.375</v>
      </c>
      <c r="T16" s="151">
        <f t="shared" si="1"/>
        <v>16.805</v>
      </c>
      <c r="U16" s="151">
        <f t="shared" si="1"/>
        <v>14.732</v>
      </c>
      <c r="V16" s="151">
        <f t="shared" si="1"/>
        <v>16.233</v>
      </c>
      <c r="W16" s="151">
        <f t="shared" si="1"/>
        <v>17.216</v>
      </c>
      <c r="X16" s="151">
        <f t="shared" si="1"/>
        <v>15.333999999999998</v>
      </c>
      <c r="Y16" s="151">
        <f t="shared" si="1"/>
        <v>16.410999999999998</v>
      </c>
      <c r="Z16" s="151">
        <f t="shared" si="1"/>
        <v>16.539</v>
      </c>
      <c r="AA16" s="151">
        <f t="shared" si="1"/>
        <v>17.939</v>
      </c>
      <c r="AB16" s="151">
        <f t="shared" si="1"/>
        <v>19.909000000000002</v>
      </c>
      <c r="AC16" s="151">
        <f t="shared" si="1"/>
        <v>17.62</v>
      </c>
      <c r="AD16" s="151">
        <f t="shared" si="1"/>
        <v>18.36</v>
      </c>
      <c r="AE16" s="151">
        <f t="shared" si="1"/>
        <v>16.3</v>
      </c>
      <c r="AF16" s="152">
        <f>AVERAGE(B16:AE16)</f>
        <v>16.820700000000002</v>
      </c>
    </row>
    <row r="17" spans="1:32" ht="23.25">
      <c r="A17" s="58" t="s">
        <v>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42"/>
    </row>
    <row r="18" spans="1:32" ht="23.25">
      <c r="A18" s="59" t="s">
        <v>9</v>
      </c>
      <c r="B18" s="141">
        <v>14.6</v>
      </c>
      <c r="C18" s="141">
        <v>13.47</v>
      </c>
      <c r="D18" s="141">
        <v>14.59</v>
      </c>
      <c r="E18" s="141">
        <v>12.47</v>
      </c>
      <c r="F18" s="141">
        <v>17.22</v>
      </c>
      <c r="G18" s="141">
        <v>15.5</v>
      </c>
      <c r="H18" s="141">
        <v>13.37</v>
      </c>
      <c r="I18" s="141">
        <v>14.4</v>
      </c>
      <c r="J18" s="141">
        <v>14.8</v>
      </c>
      <c r="K18" s="141">
        <v>15.25</v>
      </c>
      <c r="L18" s="141">
        <v>15.54</v>
      </c>
      <c r="M18" s="141">
        <v>13.72</v>
      </c>
      <c r="N18" s="141">
        <v>14.97</v>
      </c>
      <c r="O18" s="141">
        <v>15.3</v>
      </c>
      <c r="P18" s="141">
        <v>15.33</v>
      </c>
      <c r="Q18" s="141">
        <v>15.6</v>
      </c>
      <c r="R18" s="141">
        <v>14.81</v>
      </c>
      <c r="S18" s="141">
        <v>15.36</v>
      </c>
      <c r="T18" s="141">
        <v>14.82</v>
      </c>
      <c r="U18" s="141">
        <v>14.59</v>
      </c>
      <c r="V18" s="141">
        <v>16.26</v>
      </c>
      <c r="W18" s="141">
        <v>14.3</v>
      </c>
      <c r="X18" s="141">
        <v>14.66</v>
      </c>
      <c r="Y18" s="141">
        <v>14.65</v>
      </c>
      <c r="Z18" s="141">
        <v>15.14</v>
      </c>
      <c r="AA18" s="141">
        <v>14.74</v>
      </c>
      <c r="AB18" s="141">
        <v>15.04</v>
      </c>
      <c r="AC18" s="141">
        <v>14.68</v>
      </c>
      <c r="AD18" s="141">
        <v>15.52</v>
      </c>
      <c r="AE18" s="141">
        <v>15.62</v>
      </c>
      <c r="AF18" s="142"/>
    </row>
    <row r="19" spans="1:32" ht="23.25">
      <c r="A19" s="67" t="s">
        <v>28</v>
      </c>
      <c r="B19" s="14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41">
        <v>0</v>
      </c>
      <c r="AE19" s="141">
        <v>0</v>
      </c>
      <c r="AF19" s="142"/>
    </row>
    <row r="20" spans="1:32" ht="23.25">
      <c r="A20" s="59" t="s">
        <v>10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41">
        <v>0</v>
      </c>
      <c r="AA20" s="141">
        <v>0</v>
      </c>
      <c r="AB20" s="141">
        <v>0</v>
      </c>
      <c r="AC20" s="141">
        <v>0</v>
      </c>
      <c r="AD20" s="141">
        <v>0</v>
      </c>
      <c r="AE20" s="141">
        <v>0</v>
      </c>
      <c r="AF20" s="142"/>
    </row>
    <row r="21" spans="1:32" ht="23.25">
      <c r="A21" s="59" t="s">
        <v>25</v>
      </c>
      <c r="B21" s="157">
        <v>62</v>
      </c>
      <c r="C21" s="157">
        <v>52</v>
      </c>
      <c r="D21" s="157">
        <v>56</v>
      </c>
      <c r="E21" s="157">
        <v>53</v>
      </c>
      <c r="F21" s="157">
        <v>52</v>
      </c>
      <c r="G21" s="157">
        <v>51</v>
      </c>
      <c r="H21" s="157">
        <v>51</v>
      </c>
      <c r="I21" s="157">
        <v>50</v>
      </c>
      <c r="J21" s="157">
        <v>52</v>
      </c>
      <c r="K21" s="157">
        <v>47</v>
      </c>
      <c r="L21" s="157">
        <v>54</v>
      </c>
      <c r="M21" s="157">
        <v>44</v>
      </c>
      <c r="N21" s="157">
        <v>46</v>
      </c>
      <c r="O21" s="157">
        <v>52</v>
      </c>
      <c r="P21" s="157">
        <v>58</v>
      </c>
      <c r="Q21" s="157">
        <v>53</v>
      </c>
      <c r="R21" s="157">
        <v>53</v>
      </c>
      <c r="S21" s="157">
        <v>42</v>
      </c>
      <c r="T21" s="157">
        <v>50</v>
      </c>
      <c r="U21" s="157">
        <v>50</v>
      </c>
      <c r="V21" s="157">
        <v>44</v>
      </c>
      <c r="W21" s="157">
        <v>44</v>
      </c>
      <c r="X21" s="157">
        <v>54</v>
      </c>
      <c r="Y21" s="157">
        <v>47</v>
      </c>
      <c r="Z21" s="157">
        <v>48</v>
      </c>
      <c r="AA21" s="157">
        <v>53</v>
      </c>
      <c r="AB21" s="157">
        <v>43</v>
      </c>
      <c r="AC21" s="157">
        <v>47</v>
      </c>
      <c r="AD21" s="157">
        <v>47</v>
      </c>
      <c r="AE21" s="157">
        <v>54</v>
      </c>
      <c r="AF21" s="142"/>
    </row>
    <row r="22" spans="1:32" ht="23.25">
      <c r="A22" s="59" t="s">
        <v>24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2"/>
    </row>
    <row r="23" spans="1:32" ht="23.25">
      <c r="A23" s="59" t="s">
        <v>26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2"/>
    </row>
    <row r="24" spans="1:32" ht="23.25">
      <c r="A24" s="59" t="s">
        <v>27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2"/>
    </row>
    <row r="25" spans="1:32" ht="23.25">
      <c r="A25" s="59" t="s">
        <v>18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2"/>
    </row>
    <row r="26" spans="1:32" ht="23.25">
      <c r="A26" s="59" t="s">
        <v>5</v>
      </c>
      <c r="B26" s="141">
        <v>0.546</v>
      </c>
      <c r="C26" s="141">
        <v>0.546</v>
      </c>
      <c r="D26" s="141">
        <v>0.546</v>
      </c>
      <c r="E26" s="141">
        <v>0.546</v>
      </c>
      <c r="F26" s="141">
        <v>0.546</v>
      </c>
      <c r="G26" s="141">
        <v>0.546</v>
      </c>
      <c r="H26" s="141">
        <v>0.546</v>
      </c>
      <c r="I26" s="141">
        <v>0.546</v>
      </c>
      <c r="J26" s="141">
        <v>0.546</v>
      </c>
      <c r="K26" s="141">
        <v>0.546</v>
      </c>
      <c r="L26" s="141">
        <v>0.546</v>
      </c>
      <c r="M26" s="141">
        <v>0.546</v>
      </c>
      <c r="N26" s="141">
        <v>0.546</v>
      </c>
      <c r="O26" s="141">
        <v>0.546</v>
      </c>
      <c r="P26" s="141">
        <v>0.546</v>
      </c>
      <c r="Q26" s="141">
        <v>0.546</v>
      </c>
      <c r="R26" s="141">
        <v>0.546</v>
      </c>
      <c r="S26" s="141">
        <v>0.546</v>
      </c>
      <c r="T26" s="141">
        <v>0.546</v>
      </c>
      <c r="U26" s="141">
        <v>0.546</v>
      </c>
      <c r="V26" s="141">
        <v>0.546</v>
      </c>
      <c r="W26" s="141">
        <v>0.546</v>
      </c>
      <c r="X26" s="141">
        <v>0.546</v>
      </c>
      <c r="Y26" s="141">
        <v>0.546</v>
      </c>
      <c r="Z26" s="141">
        <v>0.546</v>
      </c>
      <c r="AA26" s="141">
        <v>0.546</v>
      </c>
      <c r="AB26" s="141">
        <v>0.546</v>
      </c>
      <c r="AC26" s="141">
        <v>0.546</v>
      </c>
      <c r="AD26" s="141">
        <v>0.546</v>
      </c>
      <c r="AE26" s="141">
        <v>0.546</v>
      </c>
      <c r="AF26" s="142"/>
    </row>
    <row r="27" spans="1:32" ht="23.25">
      <c r="A27" s="59" t="s">
        <v>11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2"/>
    </row>
    <row r="28" spans="1:32" ht="23.25">
      <c r="A28" s="59" t="s">
        <v>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3"/>
    </row>
    <row r="29" spans="1:32" ht="23.25">
      <c r="A29" s="54"/>
      <c r="B29" s="151">
        <f aca="true" t="shared" si="2" ref="B29:AE29">B18+B25+B26+B27+B28</f>
        <v>15.145999999999999</v>
      </c>
      <c r="C29" s="151">
        <f t="shared" si="2"/>
        <v>14.016</v>
      </c>
      <c r="D29" s="151">
        <f t="shared" si="2"/>
        <v>15.136</v>
      </c>
      <c r="E29" s="151">
        <f t="shared" si="2"/>
        <v>13.016</v>
      </c>
      <c r="F29" s="151">
        <f t="shared" si="2"/>
        <v>17.766</v>
      </c>
      <c r="G29" s="151">
        <f t="shared" si="2"/>
        <v>16.046</v>
      </c>
      <c r="H29" s="151">
        <f t="shared" si="2"/>
        <v>13.915999999999999</v>
      </c>
      <c r="I29" s="151">
        <f t="shared" si="2"/>
        <v>14.946</v>
      </c>
      <c r="J29" s="151">
        <f t="shared" si="2"/>
        <v>15.346</v>
      </c>
      <c r="K29" s="151">
        <f t="shared" si="2"/>
        <v>15.796</v>
      </c>
      <c r="L29" s="151">
        <f t="shared" si="2"/>
        <v>16.086</v>
      </c>
      <c r="M29" s="151">
        <f t="shared" si="2"/>
        <v>14.266</v>
      </c>
      <c r="N29" s="151">
        <f t="shared" si="2"/>
        <v>15.516</v>
      </c>
      <c r="O29" s="151">
        <f t="shared" si="2"/>
        <v>15.846</v>
      </c>
      <c r="P29" s="151">
        <f t="shared" si="2"/>
        <v>15.876</v>
      </c>
      <c r="Q29" s="151">
        <f t="shared" si="2"/>
        <v>16.146</v>
      </c>
      <c r="R29" s="151">
        <f t="shared" si="2"/>
        <v>15.356</v>
      </c>
      <c r="S29" s="151">
        <f t="shared" si="2"/>
        <v>15.905999999999999</v>
      </c>
      <c r="T29" s="151">
        <f t="shared" si="2"/>
        <v>15.366</v>
      </c>
      <c r="U29" s="151">
        <f t="shared" si="2"/>
        <v>15.136</v>
      </c>
      <c r="V29" s="151">
        <f t="shared" si="2"/>
        <v>16.806</v>
      </c>
      <c r="W29" s="151">
        <f t="shared" si="2"/>
        <v>14.846</v>
      </c>
      <c r="X29" s="151">
        <f t="shared" si="2"/>
        <v>15.206</v>
      </c>
      <c r="Y29" s="151">
        <f t="shared" si="2"/>
        <v>15.196</v>
      </c>
      <c r="Z29" s="151">
        <f t="shared" si="2"/>
        <v>15.686</v>
      </c>
      <c r="AA29" s="151">
        <f t="shared" si="2"/>
        <v>15.286</v>
      </c>
      <c r="AB29" s="151">
        <f t="shared" si="2"/>
        <v>15.585999999999999</v>
      </c>
      <c r="AC29" s="151">
        <f t="shared" si="2"/>
        <v>15.225999999999999</v>
      </c>
      <c r="AD29" s="151">
        <f t="shared" si="2"/>
        <v>16.066</v>
      </c>
      <c r="AE29" s="151">
        <f t="shared" si="2"/>
        <v>16.166</v>
      </c>
      <c r="AF29" s="152">
        <f>AVERAGE(B29:AE29)</f>
        <v>15.423333333333334</v>
      </c>
    </row>
    <row r="30" spans="1:32" ht="23.25">
      <c r="A30" s="56" t="s">
        <v>12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42"/>
    </row>
    <row r="31" spans="1:32" ht="23.25">
      <c r="A31" s="54" t="s">
        <v>13</v>
      </c>
      <c r="B31" s="141">
        <v>1.9</v>
      </c>
      <c r="C31" s="141">
        <v>2.3</v>
      </c>
      <c r="D31" s="141">
        <v>2.1</v>
      </c>
      <c r="E31" s="141">
        <v>2</v>
      </c>
      <c r="F31" s="141">
        <v>2.5</v>
      </c>
      <c r="G31" s="141">
        <v>2.3</v>
      </c>
      <c r="H31" s="141">
        <v>1.8</v>
      </c>
      <c r="I31" s="141">
        <v>2.2</v>
      </c>
      <c r="J31" s="141">
        <v>2.6</v>
      </c>
      <c r="K31" s="141">
        <v>2.3</v>
      </c>
      <c r="L31" s="141">
        <v>2.7</v>
      </c>
      <c r="M31" s="141">
        <v>0</v>
      </c>
      <c r="N31" s="141">
        <v>1.6</v>
      </c>
      <c r="O31" s="141">
        <v>1.9</v>
      </c>
      <c r="P31" s="141">
        <v>2.4</v>
      </c>
      <c r="Q31" s="141">
        <v>2.3</v>
      </c>
      <c r="R31" s="141">
        <v>2</v>
      </c>
      <c r="S31" s="141">
        <v>2.3</v>
      </c>
      <c r="T31" s="141">
        <v>2.3</v>
      </c>
      <c r="U31" s="141">
        <v>1.9</v>
      </c>
      <c r="V31" s="141">
        <v>0</v>
      </c>
      <c r="W31" s="141">
        <v>0</v>
      </c>
      <c r="X31" s="141">
        <v>0</v>
      </c>
      <c r="Y31" s="141">
        <v>0</v>
      </c>
      <c r="Z31" s="141">
        <v>0</v>
      </c>
      <c r="AA31" s="141">
        <v>0</v>
      </c>
      <c r="AB31" s="137">
        <v>0</v>
      </c>
      <c r="AC31" s="137">
        <v>0</v>
      </c>
      <c r="AD31" s="137">
        <v>0</v>
      </c>
      <c r="AE31" s="137">
        <v>0</v>
      </c>
      <c r="AF31" s="142"/>
    </row>
    <row r="32" spans="1:32" ht="23.25">
      <c r="A32" s="54" t="s">
        <v>31</v>
      </c>
      <c r="B32" s="141">
        <v>0</v>
      </c>
      <c r="C32" s="141">
        <v>0</v>
      </c>
      <c r="D32" s="141">
        <v>0</v>
      </c>
      <c r="E32" s="141">
        <v>0</v>
      </c>
      <c r="F32" s="141">
        <v>0</v>
      </c>
      <c r="G32" s="141">
        <v>0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1">
        <v>2.9</v>
      </c>
      <c r="N32" s="141">
        <v>0</v>
      </c>
      <c r="O32" s="141">
        <v>0</v>
      </c>
      <c r="P32" s="141">
        <v>0</v>
      </c>
      <c r="Q32" s="141">
        <v>0</v>
      </c>
      <c r="R32" s="141">
        <v>0</v>
      </c>
      <c r="S32" s="141">
        <v>0</v>
      </c>
      <c r="T32" s="141">
        <v>0</v>
      </c>
      <c r="U32" s="141">
        <v>0</v>
      </c>
      <c r="V32" s="141">
        <v>1.9</v>
      </c>
      <c r="W32" s="141">
        <v>2.1</v>
      </c>
      <c r="X32" s="141">
        <v>2.5</v>
      </c>
      <c r="Y32" s="141">
        <v>2.3</v>
      </c>
      <c r="Z32" s="141">
        <v>2.3</v>
      </c>
      <c r="AA32" s="141">
        <v>2.5</v>
      </c>
      <c r="AB32" s="137">
        <v>2.2</v>
      </c>
      <c r="AC32" s="137">
        <v>2.3</v>
      </c>
      <c r="AD32" s="137">
        <v>2.1</v>
      </c>
      <c r="AE32" s="137">
        <v>1.4</v>
      </c>
      <c r="AF32" s="142"/>
    </row>
    <row r="33" spans="1:32" ht="23.25">
      <c r="A33" s="54" t="s">
        <v>4</v>
      </c>
      <c r="B33" s="141">
        <v>1.5</v>
      </c>
      <c r="C33" s="141">
        <v>1.5</v>
      </c>
      <c r="D33" s="141">
        <v>1.5</v>
      </c>
      <c r="E33" s="141">
        <v>1</v>
      </c>
      <c r="F33" s="141">
        <v>1.1</v>
      </c>
      <c r="G33" s="141">
        <v>1.6</v>
      </c>
      <c r="H33" s="141">
        <v>1.5</v>
      </c>
      <c r="I33" s="141">
        <v>1</v>
      </c>
      <c r="J33" s="141">
        <v>1.4</v>
      </c>
      <c r="K33" s="141">
        <v>1.4</v>
      </c>
      <c r="L33" s="141">
        <v>1.4</v>
      </c>
      <c r="M33" s="141">
        <v>1.4</v>
      </c>
      <c r="N33" s="141">
        <v>1.4</v>
      </c>
      <c r="O33" s="141">
        <v>1.4</v>
      </c>
      <c r="P33" s="141">
        <v>1.4</v>
      </c>
      <c r="Q33" s="141">
        <v>1.4</v>
      </c>
      <c r="R33" s="141">
        <v>1.4</v>
      </c>
      <c r="S33" s="141">
        <v>1.4</v>
      </c>
      <c r="T33" s="141">
        <v>1.4</v>
      </c>
      <c r="U33" s="141">
        <v>1.4</v>
      </c>
      <c r="V33" s="141">
        <v>1.4</v>
      </c>
      <c r="W33" s="141">
        <v>1.4</v>
      </c>
      <c r="X33" s="141">
        <v>1.4</v>
      </c>
      <c r="Y33" s="141">
        <v>1.4</v>
      </c>
      <c r="Z33" s="141">
        <v>1.4</v>
      </c>
      <c r="AA33" s="141">
        <v>1.4</v>
      </c>
      <c r="AB33" s="137">
        <v>1.4</v>
      </c>
      <c r="AC33" s="137">
        <v>1.4</v>
      </c>
      <c r="AD33" s="137">
        <v>1.4</v>
      </c>
      <c r="AE33" s="137">
        <v>1.4</v>
      </c>
      <c r="AF33" s="142"/>
    </row>
    <row r="34" spans="1:32" ht="23.25">
      <c r="A34" s="54" t="s">
        <v>14</v>
      </c>
      <c r="B34" s="14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37">
        <v>0</v>
      </c>
      <c r="AC34" s="137">
        <v>0</v>
      </c>
      <c r="AD34" s="137">
        <v>0</v>
      </c>
      <c r="AE34" s="137">
        <v>0</v>
      </c>
      <c r="AF34" s="142"/>
    </row>
    <row r="35" spans="1:32" ht="23.25">
      <c r="A35" s="54" t="s">
        <v>11</v>
      </c>
      <c r="B35" s="141">
        <v>0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37">
        <v>0</v>
      </c>
      <c r="AC35" s="137">
        <v>0</v>
      </c>
      <c r="AD35" s="137">
        <v>0</v>
      </c>
      <c r="AE35" s="137">
        <v>0</v>
      </c>
      <c r="AF35" s="142"/>
    </row>
    <row r="36" spans="1:32" ht="23.25">
      <c r="A36" s="54"/>
      <c r="B36" s="151">
        <f aca="true" t="shared" si="3" ref="B36:AE36">SUM(B31:B35)</f>
        <v>3.4</v>
      </c>
      <c r="C36" s="151">
        <f t="shared" si="3"/>
        <v>3.8</v>
      </c>
      <c r="D36" s="151">
        <f t="shared" si="3"/>
        <v>3.6</v>
      </c>
      <c r="E36" s="151">
        <f t="shared" si="3"/>
        <v>3</v>
      </c>
      <c r="F36" s="151">
        <f t="shared" si="3"/>
        <v>3.6</v>
      </c>
      <c r="G36" s="151">
        <f t="shared" si="3"/>
        <v>3.9</v>
      </c>
      <c r="H36" s="151">
        <f t="shared" si="3"/>
        <v>3.3</v>
      </c>
      <c r="I36" s="151">
        <f t="shared" si="3"/>
        <v>3.2</v>
      </c>
      <c r="J36" s="151">
        <f t="shared" si="3"/>
        <v>4</v>
      </c>
      <c r="K36" s="151">
        <f t="shared" si="3"/>
        <v>3.6999999999999997</v>
      </c>
      <c r="L36" s="151">
        <f t="shared" si="3"/>
        <v>4.1</v>
      </c>
      <c r="M36" s="151">
        <f t="shared" si="3"/>
        <v>4.3</v>
      </c>
      <c r="N36" s="151">
        <f t="shared" si="3"/>
        <v>3</v>
      </c>
      <c r="O36" s="151">
        <f t="shared" si="3"/>
        <v>3.3</v>
      </c>
      <c r="P36" s="151">
        <f t="shared" si="3"/>
        <v>3.8</v>
      </c>
      <c r="Q36" s="151">
        <f t="shared" si="3"/>
        <v>3.6999999999999997</v>
      </c>
      <c r="R36" s="151">
        <f t="shared" si="3"/>
        <v>3.4</v>
      </c>
      <c r="S36" s="151">
        <f t="shared" si="3"/>
        <v>3.6999999999999997</v>
      </c>
      <c r="T36" s="151">
        <f t="shared" si="3"/>
        <v>3.6999999999999997</v>
      </c>
      <c r="U36" s="151">
        <f t="shared" si="3"/>
        <v>3.3</v>
      </c>
      <c r="V36" s="151">
        <f t="shared" si="3"/>
        <v>3.3</v>
      </c>
      <c r="W36" s="151">
        <f t="shared" si="3"/>
        <v>3.5</v>
      </c>
      <c r="X36" s="151">
        <f t="shared" si="3"/>
        <v>3.9</v>
      </c>
      <c r="Y36" s="151">
        <f t="shared" si="3"/>
        <v>3.6999999999999997</v>
      </c>
      <c r="Z36" s="151">
        <f t="shared" si="3"/>
        <v>3.6999999999999997</v>
      </c>
      <c r="AA36" s="151">
        <f t="shared" si="3"/>
        <v>3.9</v>
      </c>
      <c r="AB36" s="151">
        <f t="shared" si="3"/>
        <v>3.6</v>
      </c>
      <c r="AC36" s="151">
        <f t="shared" si="3"/>
        <v>3.6999999999999997</v>
      </c>
      <c r="AD36" s="151">
        <f t="shared" si="3"/>
        <v>3.5</v>
      </c>
      <c r="AE36" s="151">
        <f t="shared" si="3"/>
        <v>2.8</v>
      </c>
      <c r="AF36" s="152">
        <f>AVERAGE(B36:AE36)</f>
        <v>3.58</v>
      </c>
    </row>
    <row r="37" spans="1:32" ht="23.25">
      <c r="A37" s="56" t="s">
        <v>15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42"/>
    </row>
    <row r="38" spans="1:32" ht="23.25">
      <c r="A38" s="54" t="s">
        <v>4</v>
      </c>
      <c r="B38" s="153">
        <v>0.4</v>
      </c>
      <c r="C38" s="153">
        <v>0.5</v>
      </c>
      <c r="D38" s="153">
        <v>0.5</v>
      </c>
      <c r="E38" s="153">
        <v>0.5</v>
      </c>
      <c r="F38" s="153">
        <v>0.4</v>
      </c>
      <c r="G38" s="153">
        <v>0.4</v>
      </c>
      <c r="H38" s="153">
        <v>0.46633528125</v>
      </c>
      <c r="I38" s="153">
        <v>0.48877540625</v>
      </c>
      <c r="J38" s="153">
        <v>0.574874125</v>
      </c>
      <c r="K38" s="153">
        <v>0.524742</v>
      </c>
      <c r="L38" s="153">
        <v>0.4613970625</v>
      </c>
      <c r="M38" s="153">
        <v>0.387794875</v>
      </c>
      <c r="N38" s="153">
        <v>0.35499146875</v>
      </c>
      <c r="O38" s="153">
        <v>0.46279284375</v>
      </c>
      <c r="P38" s="153">
        <v>0.497572375</v>
      </c>
      <c r="Q38" s="153">
        <v>0.7621088125</v>
      </c>
      <c r="R38" s="153">
        <v>0.7858165625</v>
      </c>
      <c r="S38" s="153">
        <v>0.5613625</v>
      </c>
      <c r="T38" s="153">
        <v>0.564136</v>
      </c>
      <c r="U38" s="153">
        <v>0.37748065625</v>
      </c>
      <c r="V38" s="153">
        <v>0.49790784375</v>
      </c>
      <c r="W38" s="153">
        <v>0.511801625</v>
      </c>
      <c r="X38" s="153">
        <v>0.5160471875</v>
      </c>
      <c r="Y38" s="153">
        <v>0.5268391875</v>
      </c>
      <c r="Z38" s="153">
        <v>0.5242600625</v>
      </c>
      <c r="AA38" s="153">
        <v>0.4731386875</v>
      </c>
      <c r="AB38" s="153">
        <v>0.38963625</v>
      </c>
      <c r="AC38" s="153">
        <v>0.49378984375</v>
      </c>
      <c r="AD38" s="153">
        <v>0.51681521875</v>
      </c>
      <c r="AE38" s="153">
        <v>0.51681521875</v>
      </c>
      <c r="AF38" s="152">
        <f>AVERAGE(B38:AE38)</f>
        <v>0.497907703125</v>
      </c>
    </row>
    <row r="39" spans="1:32" ht="23.25">
      <c r="A39" s="54" t="s">
        <v>16</v>
      </c>
      <c r="B39" s="138">
        <f aca="true" t="shared" si="4" ref="B39:AD39">SUM(B38,B36,B29,B16,B9)</f>
        <v>50.859</v>
      </c>
      <c r="C39" s="138">
        <f t="shared" si="4"/>
        <v>50.715</v>
      </c>
      <c r="D39" s="138">
        <f t="shared" si="4"/>
        <v>51.065</v>
      </c>
      <c r="E39" s="138">
        <f t="shared" si="4"/>
        <v>49.974999999999994</v>
      </c>
      <c r="F39" s="138">
        <f t="shared" si="4"/>
        <v>53.081999999999994</v>
      </c>
      <c r="G39" s="138">
        <f t="shared" si="4"/>
        <v>51.955</v>
      </c>
      <c r="H39" s="138">
        <f t="shared" si="4"/>
        <v>48.613335281249995</v>
      </c>
      <c r="I39" s="138">
        <f t="shared" si="4"/>
        <v>51.74977540625</v>
      </c>
      <c r="J39" s="138">
        <f t="shared" si="4"/>
        <v>53.500874124999996</v>
      </c>
      <c r="K39" s="138">
        <f t="shared" si="4"/>
        <v>55.480742</v>
      </c>
      <c r="L39" s="138">
        <f t="shared" si="4"/>
        <v>55.852397062499996</v>
      </c>
      <c r="M39" s="138">
        <f t="shared" si="4"/>
        <v>50.801794875000006</v>
      </c>
      <c r="N39" s="138">
        <f t="shared" si="4"/>
        <v>49.99199146875</v>
      </c>
      <c r="O39" s="138">
        <f t="shared" si="4"/>
        <v>50.711792843750004</v>
      </c>
      <c r="P39" s="138">
        <f t="shared" si="4"/>
        <v>52.108572375</v>
      </c>
      <c r="Q39" s="138">
        <f t="shared" si="4"/>
        <v>54.2551088125</v>
      </c>
      <c r="R39" s="138">
        <f t="shared" si="4"/>
        <v>52.662816562500005</v>
      </c>
      <c r="S39" s="138">
        <f t="shared" si="4"/>
        <v>51.042362499999996</v>
      </c>
      <c r="T39" s="138">
        <f t="shared" si="4"/>
        <v>52.035136</v>
      </c>
      <c r="U39" s="138">
        <f t="shared" si="4"/>
        <v>48.54548065625</v>
      </c>
      <c r="V39" s="138">
        <f t="shared" si="4"/>
        <v>51.83690784375</v>
      </c>
      <c r="W39" s="138">
        <f t="shared" si="4"/>
        <v>51.473801625</v>
      </c>
      <c r="X39" s="138">
        <f t="shared" si="4"/>
        <v>51.0560471875</v>
      </c>
      <c r="Y39" s="138">
        <f t="shared" si="4"/>
        <v>53.733839187499996</v>
      </c>
      <c r="Z39" s="138">
        <f t="shared" si="4"/>
        <v>51.9492600625</v>
      </c>
      <c r="AA39" s="138">
        <f t="shared" si="4"/>
        <v>53.6981386875</v>
      </c>
      <c r="AB39" s="138">
        <f t="shared" si="4"/>
        <v>55.48463625</v>
      </c>
      <c r="AC39" s="138">
        <f t="shared" si="4"/>
        <v>52.53978984375</v>
      </c>
      <c r="AD39" s="138">
        <f t="shared" si="4"/>
        <v>54.14281521875</v>
      </c>
      <c r="AE39" s="141">
        <f>SUM(AE9+AE16+AE29+AE36+AE38)</f>
        <v>51.182815218749994</v>
      </c>
      <c r="AF39" s="142"/>
    </row>
    <row r="40" spans="1:32" ht="23.25">
      <c r="A40" s="54" t="s">
        <v>17</v>
      </c>
      <c r="B40" s="154">
        <f aca="true" t="shared" si="5" ref="B40:AE40">-SUM(B14+B15+B27+B28+B34+B35)</f>
        <v>0</v>
      </c>
      <c r="C40" s="154">
        <f t="shared" si="5"/>
        <v>0</v>
      </c>
      <c r="D40" s="154">
        <f t="shared" si="5"/>
        <v>0</v>
      </c>
      <c r="E40" s="154">
        <f t="shared" si="5"/>
        <v>0</v>
      </c>
      <c r="F40" s="154">
        <f t="shared" si="5"/>
        <v>0</v>
      </c>
      <c r="G40" s="154">
        <f t="shared" si="5"/>
        <v>0</v>
      </c>
      <c r="H40" s="154">
        <f t="shared" si="5"/>
        <v>0</v>
      </c>
      <c r="I40" s="154">
        <f t="shared" si="5"/>
        <v>0</v>
      </c>
      <c r="J40" s="154">
        <f t="shared" si="5"/>
        <v>0</v>
      </c>
      <c r="K40" s="154">
        <f t="shared" si="5"/>
        <v>0</v>
      </c>
      <c r="L40" s="154">
        <f t="shared" si="5"/>
        <v>0</v>
      </c>
      <c r="M40" s="154">
        <f t="shared" si="5"/>
        <v>0</v>
      </c>
      <c r="N40" s="154">
        <f t="shared" si="5"/>
        <v>0</v>
      </c>
      <c r="O40" s="154">
        <f t="shared" si="5"/>
        <v>0</v>
      </c>
      <c r="P40" s="154">
        <f t="shared" si="5"/>
        <v>0</v>
      </c>
      <c r="Q40" s="154">
        <f t="shared" si="5"/>
        <v>0</v>
      </c>
      <c r="R40" s="154">
        <f t="shared" si="5"/>
        <v>0</v>
      </c>
      <c r="S40" s="154">
        <f t="shared" si="5"/>
        <v>0</v>
      </c>
      <c r="T40" s="154">
        <f t="shared" si="5"/>
        <v>0</v>
      </c>
      <c r="U40" s="154">
        <f t="shared" si="5"/>
        <v>0</v>
      </c>
      <c r="V40" s="154">
        <f t="shared" si="5"/>
        <v>0</v>
      </c>
      <c r="W40" s="154">
        <f t="shared" si="5"/>
        <v>0</v>
      </c>
      <c r="X40" s="154">
        <f t="shared" si="5"/>
        <v>0</v>
      </c>
      <c r="Y40" s="154">
        <f t="shared" si="5"/>
        <v>0</v>
      </c>
      <c r="Z40" s="154">
        <f t="shared" si="5"/>
        <v>0</v>
      </c>
      <c r="AA40" s="154">
        <f t="shared" si="5"/>
        <v>0</v>
      </c>
      <c r="AB40" s="154">
        <f t="shared" si="5"/>
        <v>0</v>
      </c>
      <c r="AC40" s="154">
        <f t="shared" si="5"/>
        <v>0</v>
      </c>
      <c r="AD40" s="154">
        <f t="shared" si="5"/>
        <v>0</v>
      </c>
      <c r="AE40" s="154">
        <f t="shared" si="5"/>
        <v>0</v>
      </c>
      <c r="AF40" s="152"/>
    </row>
    <row r="41" spans="1:32" ht="24" thickBot="1">
      <c r="A41" s="56" t="s">
        <v>22</v>
      </c>
      <c r="B41" s="155">
        <f aca="true" t="shared" si="6" ref="B41:AE41">SUM(B39:B40)</f>
        <v>50.859</v>
      </c>
      <c r="C41" s="155">
        <f t="shared" si="6"/>
        <v>50.715</v>
      </c>
      <c r="D41" s="155">
        <f t="shared" si="6"/>
        <v>51.065</v>
      </c>
      <c r="E41" s="155">
        <f t="shared" si="6"/>
        <v>49.974999999999994</v>
      </c>
      <c r="F41" s="155">
        <f t="shared" si="6"/>
        <v>53.081999999999994</v>
      </c>
      <c r="G41" s="155">
        <f t="shared" si="6"/>
        <v>51.955</v>
      </c>
      <c r="H41" s="155">
        <f t="shared" si="6"/>
        <v>48.613335281249995</v>
      </c>
      <c r="I41" s="155">
        <f t="shared" si="6"/>
        <v>51.74977540625</v>
      </c>
      <c r="J41" s="155">
        <f t="shared" si="6"/>
        <v>53.500874124999996</v>
      </c>
      <c r="K41" s="155">
        <f t="shared" si="6"/>
        <v>55.480742</v>
      </c>
      <c r="L41" s="155">
        <f t="shared" si="6"/>
        <v>55.852397062499996</v>
      </c>
      <c r="M41" s="155">
        <f t="shared" si="6"/>
        <v>50.801794875000006</v>
      </c>
      <c r="N41" s="155">
        <f t="shared" si="6"/>
        <v>49.99199146875</v>
      </c>
      <c r="O41" s="155">
        <f t="shared" si="6"/>
        <v>50.711792843750004</v>
      </c>
      <c r="P41" s="155">
        <f t="shared" si="6"/>
        <v>52.108572375</v>
      </c>
      <c r="Q41" s="155">
        <f t="shared" si="6"/>
        <v>54.2551088125</v>
      </c>
      <c r="R41" s="155">
        <f t="shared" si="6"/>
        <v>52.662816562500005</v>
      </c>
      <c r="S41" s="155">
        <f t="shared" si="6"/>
        <v>51.042362499999996</v>
      </c>
      <c r="T41" s="155">
        <f t="shared" si="6"/>
        <v>52.035136</v>
      </c>
      <c r="U41" s="155">
        <f t="shared" si="6"/>
        <v>48.54548065625</v>
      </c>
      <c r="V41" s="155">
        <f t="shared" si="6"/>
        <v>51.83690784375</v>
      </c>
      <c r="W41" s="155">
        <f t="shared" si="6"/>
        <v>51.473801625</v>
      </c>
      <c r="X41" s="155">
        <f t="shared" si="6"/>
        <v>51.0560471875</v>
      </c>
      <c r="Y41" s="155">
        <f t="shared" si="6"/>
        <v>53.733839187499996</v>
      </c>
      <c r="Z41" s="155">
        <f t="shared" si="6"/>
        <v>51.9492600625</v>
      </c>
      <c r="AA41" s="155">
        <f t="shared" si="6"/>
        <v>53.6981386875</v>
      </c>
      <c r="AB41" s="155">
        <f t="shared" si="6"/>
        <v>55.48463625</v>
      </c>
      <c r="AC41" s="155">
        <f t="shared" si="6"/>
        <v>52.53978984375</v>
      </c>
      <c r="AD41" s="155">
        <f t="shared" si="6"/>
        <v>54.14281521875</v>
      </c>
      <c r="AE41" s="155">
        <f t="shared" si="6"/>
        <v>51.182815218749994</v>
      </c>
      <c r="AF41" s="156">
        <f>AVERAGE(B41:AE41)</f>
        <v>52.070041036458335</v>
      </c>
    </row>
    <row r="42" spans="1:32" ht="23.25">
      <c r="A42" s="56"/>
      <c r="B42" s="26"/>
      <c r="C42" s="60"/>
      <c r="D42" s="60"/>
      <c r="E42" s="77"/>
      <c r="F42" s="77"/>
      <c r="G42" s="77"/>
      <c r="H42" s="113"/>
      <c r="I42" s="113"/>
      <c r="J42" s="113"/>
      <c r="K42" s="113"/>
      <c r="L42" s="113"/>
      <c r="M42" s="113"/>
      <c r="N42" s="113"/>
      <c r="O42" s="113"/>
      <c r="P42" s="113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61"/>
    </row>
    <row r="43" spans="1:32" ht="23.25">
      <c r="A43" s="8" t="s">
        <v>20</v>
      </c>
      <c r="B43" s="14"/>
      <c r="C43" s="14"/>
      <c r="D43" s="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6"/>
      <c r="R43" s="116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43"/>
    </row>
  </sheetData>
  <sheetProtection/>
  <printOptions/>
  <pageMargins left="0.32" right="0.2" top="0.51" bottom="0.34" header="0.5" footer="0.34"/>
  <pageSetup horizontalDpi="300" verticalDpi="300" orientation="landscape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3"/>
  <sheetViews>
    <sheetView zoomScale="55" zoomScaleNormal="55" zoomScalePageLayoutView="0" workbookViewId="0" topLeftCell="A1">
      <pane xSplit="1" ySplit="5" topLeftCell="K3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:AF41"/>
    </sheetView>
  </sheetViews>
  <sheetFormatPr defaultColWidth="8.88671875" defaultRowHeight="15"/>
  <cols>
    <col min="1" max="1" width="32.77734375" style="15" customWidth="1"/>
    <col min="2" max="3" width="9.21484375" style="15" bestFit="1" customWidth="1"/>
    <col min="4" max="10" width="9.3359375" style="15" bestFit="1" customWidth="1"/>
    <col min="11" max="13" width="9.4453125" style="15" bestFit="1" customWidth="1"/>
    <col min="14" max="14" width="9.77734375" style="15" bestFit="1" customWidth="1"/>
    <col min="15" max="24" width="9.4453125" style="15" bestFit="1" customWidth="1"/>
    <col min="25" max="27" width="9.77734375" style="15" bestFit="1" customWidth="1"/>
    <col min="28" max="31" width="9.4453125" style="15" bestFit="1" customWidth="1"/>
    <col min="32" max="32" width="9.3359375" style="15" bestFit="1" customWidth="1"/>
    <col min="33" max="33" width="9.77734375" style="37" bestFit="1" customWidth="1"/>
    <col min="34" max="16384" width="8.88671875" style="15" customWidth="1"/>
  </cols>
  <sheetData>
    <row r="1" spans="1:33" ht="23.25">
      <c r="A1" s="62" t="s">
        <v>23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124"/>
    </row>
    <row r="2" spans="1:33" ht="23.25">
      <c r="A2" s="62">
        <v>41395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124"/>
    </row>
    <row r="3" spans="1:33" ht="23.25">
      <c r="A3" s="64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121"/>
      <c r="AA3" s="64"/>
      <c r="AB3" s="121"/>
      <c r="AC3" s="121"/>
      <c r="AD3" s="121"/>
      <c r="AE3" s="121"/>
      <c r="AF3" s="121"/>
      <c r="AG3" s="66"/>
    </row>
    <row r="4" spans="1:36" ht="23.2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53"/>
      <c r="AH4" s="25"/>
      <c r="AI4" s="25"/>
      <c r="AJ4" s="25"/>
    </row>
    <row r="5" spans="1:33" ht="23.25">
      <c r="A5" s="59"/>
      <c r="B5" s="117">
        <v>1</v>
      </c>
      <c r="C5" s="117">
        <v>2</v>
      </c>
      <c r="D5" s="117">
        <v>3</v>
      </c>
      <c r="E5" s="117">
        <v>4</v>
      </c>
      <c r="F5" s="117">
        <v>5</v>
      </c>
      <c r="G5" s="117">
        <v>6</v>
      </c>
      <c r="H5" s="117">
        <v>7</v>
      </c>
      <c r="I5" s="117">
        <v>8</v>
      </c>
      <c r="J5" s="117">
        <v>9</v>
      </c>
      <c r="K5" s="117">
        <v>10</v>
      </c>
      <c r="L5" s="117">
        <v>11</v>
      </c>
      <c r="M5" s="117">
        <v>12</v>
      </c>
      <c r="N5" s="117">
        <v>13</v>
      </c>
      <c r="O5" s="117">
        <v>14</v>
      </c>
      <c r="P5" s="117">
        <v>15</v>
      </c>
      <c r="Q5" s="118">
        <v>16</v>
      </c>
      <c r="R5" s="118">
        <v>17</v>
      </c>
      <c r="S5" s="119">
        <v>18</v>
      </c>
      <c r="T5" s="119">
        <v>19</v>
      </c>
      <c r="U5" s="119">
        <v>20</v>
      </c>
      <c r="V5" s="119">
        <v>21</v>
      </c>
      <c r="W5" s="119">
        <v>22</v>
      </c>
      <c r="X5" s="119">
        <v>23</v>
      </c>
      <c r="Y5" s="119">
        <v>24</v>
      </c>
      <c r="Z5" s="118">
        <v>25</v>
      </c>
      <c r="AA5" s="118">
        <v>26</v>
      </c>
      <c r="AB5" s="118">
        <v>27</v>
      </c>
      <c r="AC5" s="118">
        <v>28</v>
      </c>
      <c r="AD5" s="118">
        <v>29</v>
      </c>
      <c r="AE5" s="118">
        <v>30</v>
      </c>
      <c r="AF5" s="118">
        <v>31</v>
      </c>
      <c r="AG5" s="55"/>
    </row>
    <row r="6" spans="1:33" ht="23.25">
      <c r="A6" s="58" t="s">
        <v>0</v>
      </c>
      <c r="B6" s="58"/>
      <c r="C6" s="58"/>
      <c r="D6" s="58"/>
      <c r="E6" s="58"/>
      <c r="F6" s="58"/>
      <c r="G6" s="58"/>
      <c r="H6" s="58"/>
      <c r="I6" s="110"/>
      <c r="J6" s="110"/>
      <c r="K6" s="110"/>
      <c r="L6" s="110"/>
      <c r="M6" s="110"/>
      <c r="N6" s="110"/>
      <c r="O6" s="110"/>
      <c r="P6" s="110"/>
      <c r="Q6" s="26"/>
      <c r="R6" s="26"/>
      <c r="S6" s="60"/>
      <c r="T6" s="60"/>
      <c r="U6" s="60"/>
      <c r="V6" s="60"/>
      <c r="W6" s="60"/>
      <c r="X6" s="60"/>
      <c r="Y6" s="60"/>
      <c r="Z6" s="26"/>
      <c r="AA6" s="26"/>
      <c r="AB6" s="26"/>
      <c r="AC6" s="26"/>
      <c r="AD6" s="26"/>
      <c r="AE6" s="26"/>
      <c r="AF6" s="26"/>
      <c r="AG6" s="36"/>
    </row>
    <row r="7" spans="1:33" ht="23.25">
      <c r="A7" s="59" t="s">
        <v>1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</v>
      </c>
      <c r="Z7" s="45">
        <v>0</v>
      </c>
      <c r="AA7" s="45">
        <v>0</v>
      </c>
      <c r="AB7" s="45">
        <v>0</v>
      </c>
      <c r="AC7" s="45">
        <v>0</v>
      </c>
      <c r="AD7" s="45">
        <v>0</v>
      </c>
      <c r="AE7" s="45">
        <v>0</v>
      </c>
      <c r="AF7" s="45">
        <v>0</v>
      </c>
      <c r="AG7" s="138"/>
    </row>
    <row r="8" spans="1:33" ht="23.25">
      <c r="A8" s="59" t="s">
        <v>2</v>
      </c>
      <c r="B8" s="45">
        <v>15.7</v>
      </c>
      <c r="C8" s="45">
        <v>15.5</v>
      </c>
      <c r="D8" s="45">
        <v>17.3</v>
      </c>
      <c r="E8" s="45">
        <v>15.9</v>
      </c>
      <c r="F8" s="45">
        <v>16.5</v>
      </c>
      <c r="G8" s="45">
        <v>14.9</v>
      </c>
      <c r="H8" s="45">
        <v>15.9</v>
      </c>
      <c r="I8" s="45">
        <v>16.1</v>
      </c>
      <c r="J8" s="45">
        <v>16</v>
      </c>
      <c r="K8" s="45">
        <v>15.7</v>
      </c>
      <c r="L8" s="45">
        <v>16.7</v>
      </c>
      <c r="M8" s="45">
        <v>15.2</v>
      </c>
      <c r="N8" s="45">
        <v>14.7</v>
      </c>
      <c r="O8" s="45">
        <v>15.9</v>
      </c>
      <c r="P8" s="45">
        <v>16.6</v>
      </c>
      <c r="Q8" s="45">
        <v>16.2</v>
      </c>
      <c r="R8" s="45">
        <v>15.8</v>
      </c>
      <c r="S8" s="45">
        <v>16.3</v>
      </c>
      <c r="T8" s="45">
        <v>15.6</v>
      </c>
      <c r="U8" s="45">
        <v>14.1</v>
      </c>
      <c r="V8" s="45">
        <v>17.4</v>
      </c>
      <c r="W8" s="45">
        <v>17.2</v>
      </c>
      <c r="X8" s="45">
        <v>17.1</v>
      </c>
      <c r="Y8" s="45">
        <v>15.7</v>
      </c>
      <c r="Z8" s="45">
        <v>14.2</v>
      </c>
      <c r="AA8" s="45">
        <v>14.3</v>
      </c>
      <c r="AB8" s="45">
        <v>16.2</v>
      </c>
      <c r="AC8" s="45">
        <v>15.5</v>
      </c>
      <c r="AD8" s="45">
        <v>16.9</v>
      </c>
      <c r="AE8" s="45">
        <v>19.5</v>
      </c>
      <c r="AF8" s="45">
        <v>19.3</v>
      </c>
      <c r="AG8" s="138"/>
    </row>
    <row r="9" spans="1:33" ht="20.25">
      <c r="A9" s="59"/>
      <c r="B9" s="138">
        <f aca="true" t="shared" si="0" ref="B9:AF9">SUM(B7:B8)</f>
        <v>15.7</v>
      </c>
      <c r="C9" s="138">
        <f t="shared" si="0"/>
        <v>15.5</v>
      </c>
      <c r="D9" s="138">
        <f t="shared" si="0"/>
        <v>17.3</v>
      </c>
      <c r="E9" s="138">
        <f t="shared" si="0"/>
        <v>15.9</v>
      </c>
      <c r="F9" s="138">
        <f t="shared" si="0"/>
        <v>16.5</v>
      </c>
      <c r="G9" s="138">
        <f t="shared" si="0"/>
        <v>14.9</v>
      </c>
      <c r="H9" s="138">
        <f t="shared" si="0"/>
        <v>15.9</v>
      </c>
      <c r="I9" s="138">
        <f t="shared" si="0"/>
        <v>16.1</v>
      </c>
      <c r="J9" s="138">
        <f t="shared" si="0"/>
        <v>16</v>
      </c>
      <c r="K9" s="138">
        <f t="shared" si="0"/>
        <v>15.7</v>
      </c>
      <c r="L9" s="138">
        <f t="shared" si="0"/>
        <v>16.7</v>
      </c>
      <c r="M9" s="138">
        <f t="shared" si="0"/>
        <v>15.2</v>
      </c>
      <c r="N9" s="138">
        <f t="shared" si="0"/>
        <v>14.7</v>
      </c>
      <c r="O9" s="138">
        <f t="shared" si="0"/>
        <v>15.9</v>
      </c>
      <c r="P9" s="138">
        <f t="shared" si="0"/>
        <v>16.6</v>
      </c>
      <c r="Q9" s="138">
        <f t="shared" si="0"/>
        <v>16.2</v>
      </c>
      <c r="R9" s="138">
        <f t="shared" si="0"/>
        <v>15.8</v>
      </c>
      <c r="S9" s="138">
        <f t="shared" si="0"/>
        <v>16.3</v>
      </c>
      <c r="T9" s="138">
        <f t="shared" si="0"/>
        <v>15.6</v>
      </c>
      <c r="U9" s="138">
        <f t="shared" si="0"/>
        <v>14.1</v>
      </c>
      <c r="V9" s="138">
        <f t="shared" si="0"/>
        <v>17.4</v>
      </c>
      <c r="W9" s="138">
        <f t="shared" si="0"/>
        <v>17.2</v>
      </c>
      <c r="X9" s="138">
        <f t="shared" si="0"/>
        <v>17.1</v>
      </c>
      <c r="Y9" s="138">
        <f t="shared" si="0"/>
        <v>15.7</v>
      </c>
      <c r="Z9" s="138">
        <f t="shared" si="0"/>
        <v>14.2</v>
      </c>
      <c r="AA9" s="138">
        <f t="shared" si="0"/>
        <v>14.3</v>
      </c>
      <c r="AB9" s="138">
        <f t="shared" si="0"/>
        <v>16.2</v>
      </c>
      <c r="AC9" s="138">
        <f t="shared" si="0"/>
        <v>15.5</v>
      </c>
      <c r="AD9" s="138">
        <f t="shared" si="0"/>
        <v>16.9</v>
      </c>
      <c r="AE9" s="138">
        <f t="shared" si="0"/>
        <v>19.5</v>
      </c>
      <c r="AF9" s="138">
        <f t="shared" si="0"/>
        <v>19.3</v>
      </c>
      <c r="AG9" s="138">
        <f>AVERAGE(B9:AF9)</f>
        <v>16.125806451612902</v>
      </c>
    </row>
    <row r="10" spans="1:33" ht="20.25">
      <c r="A10" s="58" t="s">
        <v>3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</row>
    <row r="11" spans="1:33" ht="23.25">
      <c r="A11" s="59" t="s">
        <v>19</v>
      </c>
      <c r="B11" s="45">
        <f>14.907-0.32</f>
        <v>14.587</v>
      </c>
      <c r="C11" s="45">
        <f>15.056-0.266</f>
        <v>14.79</v>
      </c>
      <c r="D11" s="45">
        <f>15.416-0.287</f>
        <v>15.129</v>
      </c>
      <c r="E11" s="45">
        <f>15.215-0.329</f>
        <v>14.886</v>
      </c>
      <c r="F11" s="45">
        <f>16.094-0.339</f>
        <v>15.755</v>
      </c>
      <c r="G11" s="45">
        <f>14.692-0.392</f>
        <v>14.3</v>
      </c>
      <c r="H11" s="146">
        <f>15.253-0.338</f>
        <v>14.915000000000001</v>
      </c>
      <c r="I11" s="146">
        <f>14.88-0.382</f>
        <v>14.498000000000001</v>
      </c>
      <c r="J11" s="146">
        <f>14.574-0.394</f>
        <v>14.18</v>
      </c>
      <c r="K11" s="146">
        <f>15.015-0.383</f>
        <v>14.632000000000001</v>
      </c>
      <c r="L11" s="45">
        <f>15.067-0.394</f>
        <v>14.673</v>
      </c>
      <c r="M11" s="45">
        <f>15.465-0.397</f>
        <v>15.068</v>
      </c>
      <c r="N11" s="45">
        <f>15.715-0.402</f>
        <v>15.313</v>
      </c>
      <c r="O11" s="45">
        <f>14.9-0.412</f>
        <v>14.488</v>
      </c>
      <c r="P11" s="45">
        <f>15.532-0.411</f>
        <v>15.121</v>
      </c>
      <c r="Q11" s="45">
        <f>15.502-0.419</f>
        <v>15.083</v>
      </c>
      <c r="R11" s="45">
        <f>15.644-0.536</f>
        <v>15.108</v>
      </c>
      <c r="S11" s="147">
        <f>13.981-0.279</f>
        <v>13.702</v>
      </c>
      <c r="T11" s="147">
        <f>13.298-0.394</f>
        <v>12.904</v>
      </c>
      <c r="U11" s="147">
        <f>15.696-0.269</f>
        <v>15.427</v>
      </c>
      <c r="V11" s="147">
        <f>15.96-0.287</f>
        <v>15.673</v>
      </c>
      <c r="W11" s="147">
        <f>16.605-0.333</f>
        <v>16.272000000000002</v>
      </c>
      <c r="X11" s="147">
        <f>16.458-0.337</f>
        <v>16.121</v>
      </c>
      <c r="Y11" s="147">
        <f>15.975-0.343</f>
        <v>15.632</v>
      </c>
      <c r="Z11" s="147">
        <f>15.526-0.347</f>
        <v>15.179</v>
      </c>
      <c r="AA11" s="147">
        <f>15.714-0.375</f>
        <v>15.339</v>
      </c>
      <c r="AB11" s="147">
        <f>15.953-0.36</f>
        <v>15.593</v>
      </c>
      <c r="AC11" s="147">
        <f>15.65-0.317</f>
        <v>15.333</v>
      </c>
      <c r="AD11" s="147">
        <f>15.65-0.289</f>
        <v>15.361</v>
      </c>
      <c r="AE11" s="147">
        <f>17.04-0.155</f>
        <v>16.884999999999998</v>
      </c>
      <c r="AF11" s="147">
        <f>16.324-0.157</f>
        <v>16.167</v>
      </c>
      <c r="AG11" s="138"/>
    </row>
    <row r="12" spans="1:33" ht="23.25">
      <c r="A12" s="67" t="s">
        <v>28</v>
      </c>
      <c r="B12" s="45">
        <v>-0.32</v>
      </c>
      <c r="C12" s="45">
        <v>-0.266</v>
      </c>
      <c r="D12" s="45">
        <v>-0.287</v>
      </c>
      <c r="E12" s="45">
        <v>-0.329</v>
      </c>
      <c r="F12" s="45">
        <v>-0.339</v>
      </c>
      <c r="G12" s="45">
        <v>-0.392</v>
      </c>
      <c r="H12" s="146">
        <v>-0.338</v>
      </c>
      <c r="I12" s="146">
        <v>-0.382</v>
      </c>
      <c r="J12" s="146">
        <v>-0.394</v>
      </c>
      <c r="K12" s="146">
        <v>-0.383</v>
      </c>
      <c r="L12" s="45">
        <v>-0.394</v>
      </c>
      <c r="M12" s="45">
        <v>-0.397</v>
      </c>
      <c r="N12" s="45">
        <v>-0.402</v>
      </c>
      <c r="O12" s="45">
        <v>-0.412</v>
      </c>
      <c r="P12" s="45">
        <v>-0.411</v>
      </c>
      <c r="Q12" s="45">
        <v>-0.419</v>
      </c>
      <c r="R12" s="45">
        <v>-0.536</v>
      </c>
      <c r="S12" s="147">
        <v>-0.279</v>
      </c>
      <c r="T12" s="147">
        <v>-0.394</v>
      </c>
      <c r="U12" s="147">
        <v>-0.269</v>
      </c>
      <c r="V12" s="147">
        <v>-0.287</v>
      </c>
      <c r="W12" s="147">
        <v>-0.333</v>
      </c>
      <c r="X12" s="147">
        <v>-0.337</v>
      </c>
      <c r="Y12" s="147">
        <v>-0.343</v>
      </c>
      <c r="Z12" s="147">
        <v>-0.347</v>
      </c>
      <c r="AA12" s="147">
        <v>-0.375</v>
      </c>
      <c r="AB12" s="147">
        <v>-0.36</v>
      </c>
      <c r="AC12" s="147">
        <v>-0.317</v>
      </c>
      <c r="AD12" s="147">
        <v>-0.289</v>
      </c>
      <c r="AE12" s="147">
        <v>-0.155</v>
      </c>
      <c r="AF12" s="147">
        <v>-0.157</v>
      </c>
      <c r="AG12" s="138"/>
    </row>
    <row r="13" spans="1:33" ht="23.25">
      <c r="A13" s="59" t="s">
        <v>5</v>
      </c>
      <c r="B13" s="45">
        <v>2.805</v>
      </c>
      <c r="C13" s="45">
        <v>2.878</v>
      </c>
      <c r="D13" s="45">
        <v>2.83</v>
      </c>
      <c r="E13" s="45">
        <v>2.828</v>
      </c>
      <c r="F13" s="45">
        <v>2.878</v>
      </c>
      <c r="G13" s="45">
        <v>2.935</v>
      </c>
      <c r="H13" s="146">
        <v>2.87</v>
      </c>
      <c r="I13" s="146">
        <v>2.929</v>
      </c>
      <c r="J13" s="146">
        <v>2.972</v>
      </c>
      <c r="K13" s="146">
        <v>2.821</v>
      </c>
      <c r="L13" s="45">
        <v>2.922</v>
      </c>
      <c r="M13" s="45">
        <v>2.962</v>
      </c>
      <c r="N13" s="45">
        <v>2.971</v>
      </c>
      <c r="O13" s="45">
        <v>2.922</v>
      </c>
      <c r="P13" s="45">
        <v>2.687</v>
      </c>
      <c r="Q13" s="45">
        <v>3.179</v>
      </c>
      <c r="R13" s="45">
        <v>2.945</v>
      </c>
      <c r="S13" s="147">
        <v>1.388</v>
      </c>
      <c r="T13" s="147">
        <v>4.441</v>
      </c>
      <c r="U13" s="147">
        <v>2.887</v>
      </c>
      <c r="V13" s="147">
        <v>2.897</v>
      </c>
      <c r="W13" s="147">
        <v>2.937</v>
      </c>
      <c r="X13" s="147">
        <v>2.402</v>
      </c>
      <c r="Y13" s="45">
        <v>2.942</v>
      </c>
      <c r="Z13" s="147">
        <v>2.85</v>
      </c>
      <c r="AA13" s="147">
        <v>2.97</v>
      </c>
      <c r="AB13" s="147">
        <v>2.635</v>
      </c>
      <c r="AC13" s="147">
        <v>2.892</v>
      </c>
      <c r="AD13" s="147">
        <v>2.9</v>
      </c>
      <c r="AE13" s="147">
        <v>2.95</v>
      </c>
      <c r="AF13" s="147">
        <v>2.91</v>
      </c>
      <c r="AG13" s="138"/>
    </row>
    <row r="14" spans="1:33" ht="23.25">
      <c r="A14" s="59" t="s">
        <v>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38"/>
    </row>
    <row r="15" spans="1:33" ht="23.25">
      <c r="A15" s="59" t="s">
        <v>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38"/>
    </row>
    <row r="16" spans="1:33" ht="20.25">
      <c r="A16" s="59"/>
      <c r="B16" s="138">
        <f aca="true" t="shared" si="1" ref="B16:G16">SUM(B11:B15)</f>
        <v>17.072</v>
      </c>
      <c r="C16" s="138">
        <f t="shared" si="1"/>
        <v>17.402</v>
      </c>
      <c r="D16" s="138">
        <f t="shared" si="1"/>
        <v>17.671999999999997</v>
      </c>
      <c r="E16" s="138">
        <f t="shared" si="1"/>
        <v>17.384999999999998</v>
      </c>
      <c r="F16" s="138">
        <f t="shared" si="1"/>
        <v>18.294</v>
      </c>
      <c r="G16" s="138">
        <f t="shared" si="1"/>
        <v>16.843</v>
      </c>
      <c r="H16" s="138">
        <f>SUM(B11:B15)</f>
        <v>17.072</v>
      </c>
      <c r="I16" s="138">
        <f>SUM(C11:C15)</f>
        <v>17.402</v>
      </c>
      <c r="J16" s="138">
        <f>SUM(D11:D15)</f>
        <v>17.671999999999997</v>
      </c>
      <c r="K16" s="138">
        <f>SUM(E11:E15)</f>
        <v>17.384999999999998</v>
      </c>
      <c r="L16" s="138">
        <f aca="true" t="shared" si="2" ref="L16:AF16">SUM(L11:L15)</f>
        <v>17.201</v>
      </c>
      <c r="M16" s="138">
        <f t="shared" si="2"/>
        <v>17.633</v>
      </c>
      <c r="N16" s="138">
        <f t="shared" si="2"/>
        <v>17.882</v>
      </c>
      <c r="O16" s="138">
        <f t="shared" si="2"/>
        <v>16.997999999999998</v>
      </c>
      <c r="P16" s="138">
        <f t="shared" si="2"/>
        <v>17.397000000000002</v>
      </c>
      <c r="Q16" s="138">
        <f t="shared" si="2"/>
        <v>17.843</v>
      </c>
      <c r="R16" s="138">
        <f t="shared" si="2"/>
        <v>17.517</v>
      </c>
      <c r="S16" s="138">
        <f t="shared" si="2"/>
        <v>14.811</v>
      </c>
      <c r="T16" s="138">
        <f t="shared" si="2"/>
        <v>16.951</v>
      </c>
      <c r="U16" s="138">
        <f t="shared" si="2"/>
        <v>18.044999999999998</v>
      </c>
      <c r="V16" s="138">
        <f t="shared" si="2"/>
        <v>18.282999999999998</v>
      </c>
      <c r="W16" s="138">
        <f t="shared" si="2"/>
        <v>18.876</v>
      </c>
      <c r="X16" s="138">
        <f t="shared" si="2"/>
        <v>18.186</v>
      </c>
      <c r="Y16" s="138">
        <f t="shared" si="2"/>
        <v>18.231</v>
      </c>
      <c r="Z16" s="138">
        <f t="shared" si="2"/>
        <v>17.682000000000002</v>
      </c>
      <c r="AA16" s="138">
        <f t="shared" si="2"/>
        <v>17.934</v>
      </c>
      <c r="AB16" s="138">
        <f t="shared" si="2"/>
        <v>17.868000000000002</v>
      </c>
      <c r="AC16" s="138">
        <f t="shared" si="2"/>
        <v>17.908</v>
      </c>
      <c r="AD16" s="138">
        <f t="shared" si="2"/>
        <v>17.972</v>
      </c>
      <c r="AE16" s="138">
        <f t="shared" si="2"/>
        <v>19.679999999999996</v>
      </c>
      <c r="AF16" s="138">
        <f t="shared" si="2"/>
        <v>18.92</v>
      </c>
      <c r="AG16" s="138">
        <f>AVERAGE(B16:AF16)</f>
        <v>17.677967741935483</v>
      </c>
    </row>
    <row r="17" spans="1:33" ht="20.25">
      <c r="A17" s="58" t="s">
        <v>8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</row>
    <row r="18" spans="1:33" ht="20.25">
      <c r="A18" s="59" t="s">
        <v>9</v>
      </c>
      <c r="B18" s="141">
        <v>15.47</v>
      </c>
      <c r="C18" s="141">
        <v>16.45</v>
      </c>
      <c r="D18" s="141">
        <v>15.34</v>
      </c>
      <c r="E18" s="141">
        <v>15.82</v>
      </c>
      <c r="F18" s="141">
        <v>14.8</v>
      </c>
      <c r="G18" s="141">
        <v>14.34</v>
      </c>
      <c r="H18" s="141">
        <v>13.94</v>
      </c>
      <c r="I18" s="141">
        <v>16.29</v>
      </c>
      <c r="J18" s="141">
        <v>17.74</v>
      </c>
      <c r="K18" s="141">
        <v>14.45</v>
      </c>
      <c r="L18" s="141">
        <v>14.78</v>
      </c>
      <c r="M18" s="141">
        <v>14.65</v>
      </c>
      <c r="N18" s="141">
        <v>14.82</v>
      </c>
      <c r="O18" s="141">
        <v>14.28</v>
      </c>
      <c r="P18" s="141">
        <v>14.39</v>
      </c>
      <c r="Q18" s="141">
        <v>14.65</v>
      </c>
      <c r="R18" s="141">
        <v>15.3</v>
      </c>
      <c r="S18" s="141">
        <v>14.35</v>
      </c>
      <c r="T18" s="141">
        <v>13.55</v>
      </c>
      <c r="U18" s="141">
        <v>16.06</v>
      </c>
      <c r="V18" s="141">
        <v>18.68</v>
      </c>
      <c r="W18" s="141">
        <v>16.66</v>
      </c>
      <c r="X18" s="141">
        <v>16.99</v>
      </c>
      <c r="Y18" s="141">
        <v>16.16</v>
      </c>
      <c r="Z18" s="141">
        <v>14.24</v>
      </c>
      <c r="AA18" s="141">
        <v>15.69</v>
      </c>
      <c r="AB18" s="141">
        <v>19</v>
      </c>
      <c r="AC18" s="141">
        <v>15.67</v>
      </c>
      <c r="AD18" s="141">
        <v>15.31</v>
      </c>
      <c r="AE18" s="141">
        <v>18.97</v>
      </c>
      <c r="AF18" s="141">
        <v>20.71</v>
      </c>
      <c r="AG18" s="138"/>
    </row>
    <row r="19" spans="1:33" ht="20.25">
      <c r="A19" s="67" t="s">
        <v>28</v>
      </c>
      <c r="B19" s="14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39">
        <v>-0.17</v>
      </c>
      <c r="P19" s="139">
        <v>-0.42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41">
        <v>0</v>
      </c>
      <c r="AA19" s="141">
        <v>0</v>
      </c>
      <c r="AB19" s="141">
        <v>0</v>
      </c>
      <c r="AC19" s="141">
        <v>0</v>
      </c>
      <c r="AD19" s="139">
        <v>-0.22</v>
      </c>
      <c r="AE19" s="139">
        <v>-0.31</v>
      </c>
      <c r="AF19" s="139">
        <v>-0.15</v>
      </c>
      <c r="AG19" s="138"/>
    </row>
    <row r="20" spans="1:33" ht="20.25">
      <c r="A20" s="59" t="s">
        <v>10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</row>
    <row r="21" spans="1:33" ht="20.25">
      <c r="A21" s="59" t="s">
        <v>25</v>
      </c>
      <c r="B21" s="131">
        <v>54</v>
      </c>
      <c r="C21" s="131">
        <v>48</v>
      </c>
      <c r="D21" s="131">
        <v>49</v>
      </c>
      <c r="E21" s="131">
        <v>45</v>
      </c>
      <c r="F21" s="131">
        <v>56</v>
      </c>
      <c r="G21" s="131">
        <v>46</v>
      </c>
      <c r="H21" s="131">
        <v>51</v>
      </c>
      <c r="I21" s="131">
        <v>50</v>
      </c>
      <c r="J21" s="131">
        <v>51</v>
      </c>
      <c r="K21" s="131">
        <v>48</v>
      </c>
      <c r="L21" s="131">
        <v>41</v>
      </c>
      <c r="M21" s="131">
        <v>40</v>
      </c>
      <c r="N21" s="131">
        <v>38</v>
      </c>
      <c r="O21" s="131">
        <v>45</v>
      </c>
      <c r="P21" s="131">
        <v>45</v>
      </c>
      <c r="Q21" s="131">
        <v>46</v>
      </c>
      <c r="R21" s="131">
        <v>47</v>
      </c>
      <c r="S21" s="131">
        <v>43</v>
      </c>
      <c r="T21" s="131">
        <v>50</v>
      </c>
      <c r="U21" s="131">
        <v>51</v>
      </c>
      <c r="V21" s="131">
        <v>46</v>
      </c>
      <c r="W21" s="131">
        <v>51</v>
      </c>
      <c r="X21" s="131">
        <v>58</v>
      </c>
      <c r="Y21" s="131">
        <v>47</v>
      </c>
      <c r="Z21" s="131">
        <v>48</v>
      </c>
      <c r="AA21" s="131">
        <v>50</v>
      </c>
      <c r="AB21" s="131">
        <v>53</v>
      </c>
      <c r="AC21" s="131">
        <v>52</v>
      </c>
      <c r="AD21" s="131">
        <v>42</v>
      </c>
      <c r="AE21" s="131">
        <v>55</v>
      </c>
      <c r="AF21" s="131">
        <v>54</v>
      </c>
      <c r="AG21" s="138"/>
    </row>
    <row r="22" spans="1:33" ht="20.25">
      <c r="A22" s="59" t="s">
        <v>24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38"/>
    </row>
    <row r="23" spans="1:33" ht="20.25">
      <c r="A23" s="59" t="s">
        <v>26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38"/>
    </row>
    <row r="24" spans="1:33" ht="20.25">
      <c r="A24" s="59" t="s">
        <v>27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38"/>
    </row>
    <row r="25" spans="1:33" ht="20.25">
      <c r="A25" s="59" t="s">
        <v>18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38"/>
    </row>
    <row r="26" spans="1:33" ht="20.25">
      <c r="A26" s="59" t="s">
        <v>5</v>
      </c>
      <c r="B26" s="139">
        <v>0.8</v>
      </c>
      <c r="C26" s="139">
        <v>0.8</v>
      </c>
      <c r="D26" s="139">
        <v>0.8</v>
      </c>
      <c r="E26" s="139">
        <v>0.8</v>
      </c>
      <c r="F26" s="139">
        <v>0.8</v>
      </c>
      <c r="G26" s="139">
        <v>0.8</v>
      </c>
      <c r="H26" s="139">
        <v>0.8</v>
      </c>
      <c r="I26" s="139">
        <v>0.8</v>
      </c>
      <c r="J26" s="139">
        <v>0.8</v>
      </c>
      <c r="K26" s="139">
        <v>0.8</v>
      </c>
      <c r="L26" s="139">
        <v>0.8</v>
      </c>
      <c r="M26" s="139">
        <v>0.8</v>
      </c>
      <c r="N26" s="139">
        <v>0.37</v>
      </c>
      <c r="O26" s="139">
        <v>0.37</v>
      </c>
      <c r="P26" s="139">
        <v>0.37</v>
      </c>
      <c r="Q26" s="139">
        <v>0.37</v>
      </c>
      <c r="R26" s="139">
        <v>0.37</v>
      </c>
      <c r="S26" s="139">
        <v>0.37</v>
      </c>
      <c r="T26" s="139">
        <v>0.79</v>
      </c>
      <c r="U26" s="139">
        <v>0.79</v>
      </c>
      <c r="V26" s="139">
        <v>0.79</v>
      </c>
      <c r="W26" s="139">
        <v>0.79</v>
      </c>
      <c r="X26" s="139">
        <v>0.79</v>
      </c>
      <c r="Y26" s="139">
        <v>0.79</v>
      </c>
      <c r="Z26" s="139">
        <v>0.79</v>
      </c>
      <c r="AA26" s="139">
        <v>0.3</v>
      </c>
      <c r="AB26" s="139">
        <v>0.3</v>
      </c>
      <c r="AC26" s="139">
        <v>0.3</v>
      </c>
      <c r="AD26" s="139">
        <v>0.3</v>
      </c>
      <c r="AE26" s="139">
        <v>0.3</v>
      </c>
      <c r="AF26" s="139">
        <v>0.3</v>
      </c>
      <c r="AG26" s="138"/>
    </row>
    <row r="27" spans="1:33" ht="20.25">
      <c r="A27" s="59" t="s">
        <v>11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38"/>
    </row>
    <row r="28" spans="1:33" ht="20.25">
      <c r="A28" s="59" t="s">
        <v>7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38"/>
    </row>
    <row r="29" spans="1:36" ht="20.25">
      <c r="A29" s="59"/>
      <c r="B29" s="138">
        <f>SUM(B18,B25,B26,B27,B28,B19)</f>
        <v>16.27</v>
      </c>
      <c r="C29" s="138">
        <f aca="true" t="shared" si="3" ref="C29:K29">SUM(C18,C25,C26,C27,C28,C19)</f>
        <v>17.25</v>
      </c>
      <c r="D29" s="138">
        <f t="shared" si="3"/>
        <v>16.14</v>
      </c>
      <c r="E29" s="138">
        <f t="shared" si="3"/>
        <v>16.62</v>
      </c>
      <c r="F29" s="138">
        <f t="shared" si="3"/>
        <v>15.600000000000001</v>
      </c>
      <c r="G29" s="138">
        <f t="shared" si="3"/>
        <v>15.14</v>
      </c>
      <c r="H29" s="138">
        <f t="shared" si="3"/>
        <v>14.74</v>
      </c>
      <c r="I29" s="138">
        <f t="shared" si="3"/>
        <v>17.09</v>
      </c>
      <c r="J29" s="138">
        <f t="shared" si="3"/>
        <v>18.54</v>
      </c>
      <c r="K29" s="138">
        <f t="shared" si="3"/>
        <v>15.25</v>
      </c>
      <c r="L29" s="138">
        <f aca="true" t="shared" si="4" ref="L29:AF29">SUM(L18,L25,L26,L27,L28,L19)</f>
        <v>15.58</v>
      </c>
      <c r="M29" s="138">
        <f t="shared" si="4"/>
        <v>15.450000000000001</v>
      </c>
      <c r="N29" s="138">
        <f t="shared" si="4"/>
        <v>15.19</v>
      </c>
      <c r="O29" s="138">
        <f t="shared" si="4"/>
        <v>14.479999999999999</v>
      </c>
      <c r="P29" s="138">
        <f t="shared" si="4"/>
        <v>14.34</v>
      </c>
      <c r="Q29" s="138">
        <f t="shared" si="4"/>
        <v>15.02</v>
      </c>
      <c r="R29" s="138">
        <f t="shared" si="4"/>
        <v>15.67</v>
      </c>
      <c r="S29" s="138">
        <f t="shared" si="4"/>
        <v>14.719999999999999</v>
      </c>
      <c r="T29" s="138">
        <f t="shared" si="4"/>
        <v>14.34</v>
      </c>
      <c r="U29" s="138">
        <f t="shared" si="4"/>
        <v>16.849999999999998</v>
      </c>
      <c r="V29" s="138">
        <f t="shared" si="4"/>
        <v>19.47</v>
      </c>
      <c r="W29" s="138">
        <f t="shared" si="4"/>
        <v>17.45</v>
      </c>
      <c r="X29" s="138">
        <f t="shared" si="4"/>
        <v>17.779999999999998</v>
      </c>
      <c r="Y29" s="138">
        <f t="shared" si="4"/>
        <v>16.95</v>
      </c>
      <c r="Z29" s="138">
        <f t="shared" si="4"/>
        <v>15.030000000000001</v>
      </c>
      <c r="AA29" s="138">
        <f t="shared" si="4"/>
        <v>15.99</v>
      </c>
      <c r="AB29" s="138">
        <f t="shared" si="4"/>
        <v>19.3</v>
      </c>
      <c r="AC29" s="138">
        <f t="shared" si="4"/>
        <v>15.97</v>
      </c>
      <c r="AD29" s="138">
        <f t="shared" si="4"/>
        <v>15.39</v>
      </c>
      <c r="AE29" s="138">
        <f t="shared" si="4"/>
        <v>18.96</v>
      </c>
      <c r="AF29" s="138">
        <f t="shared" si="4"/>
        <v>20.860000000000003</v>
      </c>
      <c r="AG29" s="138">
        <f>AVERAGE(B29:AF29)</f>
        <v>16.368709677419353</v>
      </c>
      <c r="AI29" s="123"/>
      <c r="AJ29" s="108"/>
    </row>
    <row r="30" spans="1:36" ht="20.25">
      <c r="A30" s="58" t="s">
        <v>12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I30" s="123"/>
      <c r="AJ30" s="108"/>
    </row>
    <row r="31" spans="1:36" ht="20.25">
      <c r="A31" s="59" t="s">
        <v>13</v>
      </c>
      <c r="B31" s="137">
        <v>2.8</v>
      </c>
      <c r="C31" s="137">
        <v>3</v>
      </c>
      <c r="D31" s="137">
        <v>2.5</v>
      </c>
      <c r="E31" s="137">
        <v>2.2</v>
      </c>
      <c r="F31" s="137">
        <v>2.6</v>
      </c>
      <c r="G31" s="137">
        <v>2.1</v>
      </c>
      <c r="H31" s="137">
        <v>2.2</v>
      </c>
      <c r="I31" s="137">
        <v>0</v>
      </c>
      <c r="J31" s="137">
        <v>0</v>
      </c>
      <c r="K31" s="137">
        <v>2.6</v>
      </c>
      <c r="L31" s="137">
        <v>0</v>
      </c>
      <c r="M31" s="137">
        <v>0</v>
      </c>
      <c r="N31" s="137">
        <v>0</v>
      </c>
      <c r="O31" s="137">
        <v>1.9</v>
      </c>
      <c r="P31" s="137">
        <v>3.2</v>
      </c>
      <c r="Q31" s="137">
        <v>2.4</v>
      </c>
      <c r="R31" s="137">
        <v>2.5</v>
      </c>
      <c r="S31" s="141">
        <v>2.6</v>
      </c>
      <c r="T31" s="141">
        <v>2</v>
      </c>
      <c r="U31" s="141">
        <v>1.9</v>
      </c>
      <c r="V31" s="141">
        <v>2.6</v>
      </c>
      <c r="W31" s="141">
        <v>2.7</v>
      </c>
      <c r="X31" s="141">
        <v>1.8</v>
      </c>
      <c r="Y31" s="141">
        <v>2.3</v>
      </c>
      <c r="Z31" s="141">
        <v>1.7</v>
      </c>
      <c r="AA31" s="141">
        <v>1</v>
      </c>
      <c r="AB31" s="141">
        <v>1.6</v>
      </c>
      <c r="AC31" s="141">
        <v>2.1</v>
      </c>
      <c r="AD31" s="141">
        <v>1.9</v>
      </c>
      <c r="AE31" s="141">
        <v>1.9</v>
      </c>
      <c r="AF31" s="141">
        <v>2.3</v>
      </c>
      <c r="AG31" s="138"/>
      <c r="AI31" s="123"/>
      <c r="AJ31" s="108"/>
    </row>
    <row r="32" spans="1:36" ht="20.25">
      <c r="A32" s="59" t="s">
        <v>31</v>
      </c>
      <c r="B32" s="137">
        <v>0</v>
      </c>
      <c r="C32" s="137">
        <v>0</v>
      </c>
      <c r="D32" s="137">
        <v>0</v>
      </c>
      <c r="E32" s="137">
        <v>0</v>
      </c>
      <c r="F32" s="137">
        <v>0</v>
      </c>
      <c r="G32" s="137">
        <v>0</v>
      </c>
      <c r="H32" s="137">
        <v>0</v>
      </c>
      <c r="I32" s="145">
        <v>2.4</v>
      </c>
      <c r="J32" s="137">
        <v>2</v>
      </c>
      <c r="K32" s="137">
        <v>0</v>
      </c>
      <c r="L32" s="137">
        <v>2.2</v>
      </c>
      <c r="M32" s="137">
        <v>2.2</v>
      </c>
      <c r="N32" s="137">
        <v>2</v>
      </c>
      <c r="O32" s="137">
        <v>0</v>
      </c>
      <c r="P32" s="137">
        <v>0</v>
      </c>
      <c r="Q32" s="137">
        <v>0</v>
      </c>
      <c r="R32" s="137">
        <v>0</v>
      </c>
      <c r="S32" s="141">
        <v>0</v>
      </c>
      <c r="T32" s="141">
        <v>0</v>
      </c>
      <c r="U32" s="141">
        <v>0</v>
      </c>
      <c r="V32" s="141">
        <v>0</v>
      </c>
      <c r="W32" s="141">
        <v>0</v>
      </c>
      <c r="X32" s="141">
        <v>0</v>
      </c>
      <c r="Y32" s="141">
        <v>0</v>
      </c>
      <c r="Z32" s="141">
        <v>0</v>
      </c>
      <c r="AA32" s="141">
        <v>0</v>
      </c>
      <c r="AB32" s="141">
        <v>0</v>
      </c>
      <c r="AC32" s="141">
        <v>0</v>
      </c>
      <c r="AD32" s="141">
        <v>0</v>
      </c>
      <c r="AE32" s="141">
        <v>0</v>
      </c>
      <c r="AF32" s="141">
        <v>0</v>
      </c>
      <c r="AG32" s="138"/>
      <c r="AI32" s="123"/>
      <c r="AJ32" s="108"/>
    </row>
    <row r="33" spans="1:36" ht="20.25">
      <c r="A33" s="59" t="s">
        <v>4</v>
      </c>
      <c r="B33" s="137">
        <v>1.4</v>
      </c>
      <c r="C33" s="137">
        <v>1.4</v>
      </c>
      <c r="D33" s="137">
        <v>1.4</v>
      </c>
      <c r="E33" s="137">
        <v>1.4</v>
      </c>
      <c r="F33" s="137">
        <v>1.4</v>
      </c>
      <c r="G33" s="137">
        <v>1.4</v>
      </c>
      <c r="H33" s="137">
        <v>1.4</v>
      </c>
      <c r="I33" s="137">
        <v>1.4</v>
      </c>
      <c r="J33" s="137">
        <v>1.4</v>
      </c>
      <c r="K33" s="137">
        <v>1.4</v>
      </c>
      <c r="L33" s="137">
        <v>1.4</v>
      </c>
      <c r="M33" s="137">
        <v>1.4</v>
      </c>
      <c r="N33" s="137">
        <v>1.4</v>
      </c>
      <c r="O33" s="137">
        <v>1.4</v>
      </c>
      <c r="P33" s="137">
        <v>1.4</v>
      </c>
      <c r="Q33" s="137">
        <v>1.4</v>
      </c>
      <c r="R33" s="137">
        <v>1.4</v>
      </c>
      <c r="S33" s="141">
        <v>1.4</v>
      </c>
      <c r="T33" s="141">
        <v>1.4</v>
      </c>
      <c r="U33" s="141">
        <v>1.4</v>
      </c>
      <c r="V33" s="141">
        <v>1.4</v>
      </c>
      <c r="W33" s="141">
        <v>1.4</v>
      </c>
      <c r="X33" s="141">
        <v>1.4</v>
      </c>
      <c r="Y33" s="141">
        <v>1.4</v>
      </c>
      <c r="Z33" s="141">
        <v>1.4</v>
      </c>
      <c r="AA33" s="141">
        <v>1.4</v>
      </c>
      <c r="AB33" s="141">
        <v>1.4</v>
      </c>
      <c r="AC33" s="141">
        <v>1.4</v>
      </c>
      <c r="AD33" s="141">
        <v>1.4</v>
      </c>
      <c r="AE33" s="141">
        <v>1.4</v>
      </c>
      <c r="AF33" s="141">
        <v>1.4</v>
      </c>
      <c r="AG33" s="138"/>
      <c r="AI33" s="123"/>
      <c r="AJ33" s="108"/>
    </row>
    <row r="34" spans="1:33" ht="20.25">
      <c r="A34" s="59" t="s">
        <v>14</v>
      </c>
      <c r="B34" s="141">
        <v>0</v>
      </c>
      <c r="C34" s="141">
        <v>0</v>
      </c>
      <c r="D34" s="141">
        <v>0</v>
      </c>
      <c r="E34" s="141">
        <v>0</v>
      </c>
      <c r="F34" s="141">
        <v>0</v>
      </c>
      <c r="G34" s="141">
        <v>0</v>
      </c>
      <c r="H34" s="141">
        <v>0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41">
        <v>0</v>
      </c>
      <c r="Q34" s="141">
        <v>0</v>
      </c>
      <c r="R34" s="141">
        <v>0</v>
      </c>
      <c r="S34" s="141">
        <v>0</v>
      </c>
      <c r="T34" s="141">
        <v>0</v>
      </c>
      <c r="U34" s="141">
        <v>0</v>
      </c>
      <c r="V34" s="141">
        <v>0</v>
      </c>
      <c r="W34" s="141">
        <v>0</v>
      </c>
      <c r="X34" s="141">
        <v>0</v>
      </c>
      <c r="Y34" s="141">
        <v>0</v>
      </c>
      <c r="Z34" s="141">
        <v>0</v>
      </c>
      <c r="AA34" s="141">
        <v>0</v>
      </c>
      <c r="AB34" s="141">
        <v>0</v>
      </c>
      <c r="AC34" s="141">
        <v>0</v>
      </c>
      <c r="AD34" s="141">
        <v>0</v>
      </c>
      <c r="AE34" s="141">
        <v>0</v>
      </c>
      <c r="AF34" s="141">
        <v>0</v>
      </c>
      <c r="AG34" s="138"/>
    </row>
    <row r="35" spans="1:33" ht="20.25">
      <c r="A35" s="59" t="s">
        <v>11</v>
      </c>
      <c r="B35" s="141">
        <v>0</v>
      </c>
      <c r="C35" s="141">
        <v>0</v>
      </c>
      <c r="D35" s="141">
        <v>0</v>
      </c>
      <c r="E35" s="141">
        <v>0</v>
      </c>
      <c r="F35" s="141">
        <v>0</v>
      </c>
      <c r="G35" s="141">
        <v>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41">
        <v>0</v>
      </c>
      <c r="Q35" s="141">
        <v>0</v>
      </c>
      <c r="R35" s="141">
        <v>0</v>
      </c>
      <c r="S35" s="141">
        <v>0</v>
      </c>
      <c r="T35" s="141">
        <v>0</v>
      </c>
      <c r="U35" s="141">
        <v>0</v>
      </c>
      <c r="V35" s="141">
        <v>0</v>
      </c>
      <c r="W35" s="141">
        <v>0</v>
      </c>
      <c r="X35" s="141">
        <v>0</v>
      </c>
      <c r="Y35" s="141">
        <v>0</v>
      </c>
      <c r="Z35" s="141">
        <v>0</v>
      </c>
      <c r="AA35" s="141">
        <v>0</v>
      </c>
      <c r="AB35" s="141">
        <v>0</v>
      </c>
      <c r="AC35" s="141">
        <v>0</v>
      </c>
      <c r="AD35" s="141">
        <v>0</v>
      </c>
      <c r="AE35" s="141">
        <v>0</v>
      </c>
      <c r="AF35" s="141">
        <v>0</v>
      </c>
      <c r="AG35" s="138"/>
    </row>
    <row r="36" spans="1:33" ht="20.25">
      <c r="A36" s="59"/>
      <c r="B36" s="138">
        <f aca="true" t="shared" si="5" ref="B36:N36">SUM(B31:B35)</f>
        <v>4.199999999999999</v>
      </c>
      <c r="C36" s="138">
        <f t="shared" si="5"/>
        <v>4.4</v>
      </c>
      <c r="D36" s="138">
        <f t="shared" si="5"/>
        <v>3.9</v>
      </c>
      <c r="E36" s="138">
        <f t="shared" si="5"/>
        <v>3.6</v>
      </c>
      <c r="F36" s="138">
        <f t="shared" si="5"/>
        <v>4</v>
      </c>
      <c r="G36" s="138">
        <f t="shared" si="5"/>
        <v>3.5</v>
      </c>
      <c r="H36" s="138">
        <f t="shared" si="5"/>
        <v>3.6</v>
      </c>
      <c r="I36" s="138">
        <f t="shared" si="5"/>
        <v>3.8</v>
      </c>
      <c r="J36" s="138">
        <f t="shared" si="5"/>
        <v>3.4</v>
      </c>
      <c r="K36" s="138">
        <f t="shared" si="5"/>
        <v>4</v>
      </c>
      <c r="L36" s="138">
        <f t="shared" si="5"/>
        <v>3.6</v>
      </c>
      <c r="M36" s="138">
        <f t="shared" si="5"/>
        <v>3.6</v>
      </c>
      <c r="N36" s="138">
        <f t="shared" si="5"/>
        <v>3.4</v>
      </c>
      <c r="O36" s="138">
        <f aca="true" t="shared" si="6" ref="O36:AF36">SUM(O31:O35)</f>
        <v>3.3</v>
      </c>
      <c r="P36" s="138">
        <f t="shared" si="6"/>
        <v>4.6</v>
      </c>
      <c r="Q36" s="138">
        <f t="shared" si="6"/>
        <v>3.8</v>
      </c>
      <c r="R36" s="138">
        <f t="shared" si="6"/>
        <v>3.9</v>
      </c>
      <c r="S36" s="138">
        <f t="shared" si="6"/>
        <v>4</v>
      </c>
      <c r="T36" s="138">
        <f t="shared" si="6"/>
        <v>3.4</v>
      </c>
      <c r="U36" s="138">
        <f t="shared" si="6"/>
        <v>3.3</v>
      </c>
      <c r="V36" s="138">
        <f t="shared" si="6"/>
        <v>4</v>
      </c>
      <c r="W36" s="138">
        <f t="shared" si="6"/>
        <v>4.1</v>
      </c>
      <c r="X36" s="138">
        <f t="shared" si="6"/>
        <v>3.2</v>
      </c>
      <c r="Y36" s="138">
        <f t="shared" si="6"/>
        <v>3.6999999999999997</v>
      </c>
      <c r="Z36" s="138">
        <f t="shared" si="6"/>
        <v>3.0999999999999996</v>
      </c>
      <c r="AA36" s="138">
        <f t="shared" si="6"/>
        <v>2.4</v>
      </c>
      <c r="AB36" s="138">
        <f t="shared" si="6"/>
        <v>3</v>
      </c>
      <c r="AC36" s="138">
        <f t="shared" si="6"/>
        <v>3.5</v>
      </c>
      <c r="AD36" s="138">
        <f t="shared" si="6"/>
        <v>3.3</v>
      </c>
      <c r="AE36" s="138">
        <f t="shared" si="6"/>
        <v>3.3</v>
      </c>
      <c r="AF36" s="138">
        <f t="shared" si="6"/>
        <v>3.6999999999999997</v>
      </c>
      <c r="AG36" s="138">
        <f>AVERAGE(B36:AF36)</f>
        <v>3.632258064516129</v>
      </c>
    </row>
    <row r="37" spans="1:33" ht="20.25">
      <c r="A37" s="58" t="s">
        <v>15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</row>
    <row r="38" spans="1:33" ht="20.25">
      <c r="A38" s="59" t="s">
        <v>4</v>
      </c>
      <c r="B38" s="144">
        <v>0.49885240625</v>
      </c>
      <c r="C38" s="144">
        <v>0.51736771875</v>
      </c>
      <c r="D38" s="144">
        <v>0.4903818125</v>
      </c>
      <c r="E38" s="144">
        <v>0.4329316875</v>
      </c>
      <c r="F38" s="144">
        <v>0.39034259375</v>
      </c>
      <c r="G38" s="144">
        <v>0.51619828125</v>
      </c>
      <c r="H38" s="144">
        <v>0.528209</v>
      </c>
      <c r="I38" s="144">
        <v>0.514107</v>
      </c>
      <c r="J38" s="144">
        <v>0.50059934375</v>
      </c>
      <c r="K38" s="144">
        <v>0.5229046875</v>
      </c>
      <c r="L38" s="144">
        <v>0.41897859375</v>
      </c>
      <c r="M38" s="144">
        <v>0.3800461875</v>
      </c>
      <c r="N38" s="144">
        <v>0.47232009375</v>
      </c>
      <c r="O38" s="144">
        <v>0.50492765625</v>
      </c>
      <c r="P38" s="144">
        <v>0.555843625</v>
      </c>
      <c r="Q38" s="144">
        <v>0.5689771875</v>
      </c>
      <c r="R38" s="144">
        <v>0.5750068125</v>
      </c>
      <c r="S38" s="144">
        <v>0.4593691875</v>
      </c>
      <c r="T38" s="144">
        <v>0.39231959375</v>
      </c>
      <c r="U38" s="144">
        <v>0.51712434375</v>
      </c>
      <c r="V38" s="144">
        <v>0.606578875</v>
      </c>
      <c r="W38" s="144">
        <v>0.5682918125</v>
      </c>
      <c r="X38" s="144">
        <v>0.5140469375</v>
      </c>
      <c r="Y38" s="144">
        <v>0.429215</v>
      </c>
      <c r="Z38" s="144">
        <v>0.3322369375</v>
      </c>
      <c r="AA38" s="144">
        <v>0.36179915625</v>
      </c>
      <c r="AB38" s="144">
        <v>0.39770240625</v>
      </c>
      <c r="AC38" s="144">
        <v>0.4511533125</v>
      </c>
      <c r="AD38" s="144">
        <v>0.55699775</v>
      </c>
      <c r="AE38" s="144">
        <v>0.536298625</v>
      </c>
      <c r="AF38" s="144">
        <v>0.50547284375</v>
      </c>
      <c r="AG38" s="138">
        <f>AVERAGE(B38:AF38)</f>
        <v>0.4844064989919355</v>
      </c>
    </row>
    <row r="39" spans="1:33" ht="20.25">
      <c r="A39" s="59" t="s">
        <v>16</v>
      </c>
      <c r="B39" s="138">
        <f aca="true" t="shared" si="7" ref="B39:K39">SUM(B38,B36,B29,B16,B9)</f>
        <v>53.74085240625</v>
      </c>
      <c r="C39" s="138">
        <f t="shared" si="7"/>
        <v>55.06936771875</v>
      </c>
      <c r="D39" s="138">
        <f t="shared" si="7"/>
        <v>55.50238181249999</v>
      </c>
      <c r="E39" s="138">
        <f t="shared" si="7"/>
        <v>53.9379316875</v>
      </c>
      <c r="F39" s="138">
        <f t="shared" si="7"/>
        <v>54.78434259375</v>
      </c>
      <c r="G39" s="138">
        <f t="shared" si="7"/>
        <v>50.89919828125</v>
      </c>
      <c r="H39" s="138">
        <f t="shared" si="7"/>
        <v>51.840208999999994</v>
      </c>
      <c r="I39" s="138">
        <f t="shared" si="7"/>
        <v>54.906107</v>
      </c>
      <c r="J39" s="138">
        <f t="shared" si="7"/>
        <v>56.11259934374999</v>
      </c>
      <c r="K39" s="138">
        <f t="shared" si="7"/>
        <v>52.857904687499996</v>
      </c>
      <c r="L39" s="138">
        <f aca="true" t="shared" si="8" ref="L39:AF39">SUM(L38,L36,L29,L16,L9)</f>
        <v>53.49997859375</v>
      </c>
      <c r="M39" s="138">
        <f t="shared" si="8"/>
        <v>52.263046187499995</v>
      </c>
      <c r="N39" s="138">
        <f t="shared" si="8"/>
        <v>51.64432009375</v>
      </c>
      <c r="O39" s="138">
        <f t="shared" si="8"/>
        <v>51.182927656249994</v>
      </c>
      <c r="P39" s="138">
        <f t="shared" si="8"/>
        <v>53.492843625</v>
      </c>
      <c r="Q39" s="138">
        <f t="shared" si="8"/>
        <v>53.431977187499996</v>
      </c>
      <c r="R39" s="138">
        <f t="shared" si="8"/>
        <v>53.46200681249999</v>
      </c>
      <c r="S39" s="138">
        <f t="shared" si="8"/>
        <v>50.290369187500005</v>
      </c>
      <c r="T39" s="138">
        <f t="shared" si="8"/>
        <v>50.68331959375001</v>
      </c>
      <c r="U39" s="138">
        <f t="shared" si="8"/>
        <v>52.81212434374999</v>
      </c>
      <c r="V39" s="138">
        <f t="shared" si="8"/>
        <v>59.759578874999995</v>
      </c>
      <c r="W39" s="138">
        <f t="shared" si="8"/>
        <v>58.1942918125</v>
      </c>
      <c r="X39" s="138">
        <f t="shared" si="8"/>
        <v>56.780046937499996</v>
      </c>
      <c r="Y39" s="138">
        <f t="shared" si="8"/>
        <v>55.010215</v>
      </c>
      <c r="Z39" s="138">
        <f t="shared" si="8"/>
        <v>50.3442369375</v>
      </c>
      <c r="AA39" s="138">
        <f t="shared" si="8"/>
        <v>50.985799156249996</v>
      </c>
      <c r="AB39" s="138">
        <f t="shared" si="8"/>
        <v>56.76570240625</v>
      </c>
      <c r="AC39" s="138">
        <f t="shared" si="8"/>
        <v>53.3291533125</v>
      </c>
      <c r="AD39" s="138">
        <f t="shared" si="8"/>
        <v>54.11899775</v>
      </c>
      <c r="AE39" s="138">
        <f t="shared" si="8"/>
        <v>61.976298625</v>
      </c>
      <c r="AF39" s="138">
        <f t="shared" si="8"/>
        <v>63.28547284375</v>
      </c>
      <c r="AG39" s="138">
        <f>AVERAGE(B39:AF39)</f>
        <v>54.28914843447582</v>
      </c>
    </row>
    <row r="40" spans="1:33" ht="20.25">
      <c r="A40" s="59" t="s">
        <v>17</v>
      </c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38"/>
    </row>
    <row r="41" spans="1:33" ht="20.25">
      <c r="A41" s="58" t="s">
        <v>22</v>
      </c>
      <c r="B41" s="138">
        <f aca="true" t="shared" si="9" ref="B41:K41">SUM(B39:B40)</f>
        <v>53.74085240625</v>
      </c>
      <c r="C41" s="138">
        <f t="shared" si="9"/>
        <v>55.06936771875</v>
      </c>
      <c r="D41" s="138">
        <f t="shared" si="9"/>
        <v>55.50238181249999</v>
      </c>
      <c r="E41" s="138">
        <f t="shared" si="9"/>
        <v>53.9379316875</v>
      </c>
      <c r="F41" s="138">
        <f t="shared" si="9"/>
        <v>54.78434259375</v>
      </c>
      <c r="G41" s="138">
        <f t="shared" si="9"/>
        <v>50.89919828125</v>
      </c>
      <c r="H41" s="138">
        <f t="shared" si="9"/>
        <v>51.840208999999994</v>
      </c>
      <c r="I41" s="138">
        <f t="shared" si="9"/>
        <v>54.906107</v>
      </c>
      <c r="J41" s="138">
        <f t="shared" si="9"/>
        <v>56.11259934374999</v>
      </c>
      <c r="K41" s="138">
        <f t="shared" si="9"/>
        <v>52.857904687499996</v>
      </c>
      <c r="L41" s="138">
        <f aca="true" t="shared" si="10" ref="L41:AF41">SUM(L39:L40)</f>
        <v>53.49997859375</v>
      </c>
      <c r="M41" s="138">
        <f t="shared" si="10"/>
        <v>52.263046187499995</v>
      </c>
      <c r="N41" s="138">
        <f t="shared" si="10"/>
        <v>51.64432009375</v>
      </c>
      <c r="O41" s="138">
        <f t="shared" si="10"/>
        <v>51.182927656249994</v>
      </c>
      <c r="P41" s="138">
        <f t="shared" si="10"/>
        <v>53.492843625</v>
      </c>
      <c r="Q41" s="138">
        <f t="shared" si="10"/>
        <v>53.431977187499996</v>
      </c>
      <c r="R41" s="138">
        <f t="shared" si="10"/>
        <v>53.46200681249999</v>
      </c>
      <c r="S41" s="138">
        <f t="shared" si="10"/>
        <v>50.290369187500005</v>
      </c>
      <c r="T41" s="138">
        <f t="shared" si="10"/>
        <v>50.68331959375001</v>
      </c>
      <c r="U41" s="138">
        <f t="shared" si="10"/>
        <v>52.81212434374999</v>
      </c>
      <c r="V41" s="138">
        <f t="shared" si="10"/>
        <v>59.759578874999995</v>
      </c>
      <c r="W41" s="138">
        <f t="shared" si="10"/>
        <v>58.1942918125</v>
      </c>
      <c r="X41" s="138">
        <f t="shared" si="10"/>
        <v>56.780046937499996</v>
      </c>
      <c r="Y41" s="138">
        <f t="shared" si="10"/>
        <v>55.010215</v>
      </c>
      <c r="Z41" s="138">
        <f t="shared" si="10"/>
        <v>50.3442369375</v>
      </c>
      <c r="AA41" s="138">
        <f t="shared" si="10"/>
        <v>50.985799156249996</v>
      </c>
      <c r="AB41" s="138">
        <f t="shared" si="10"/>
        <v>56.76570240625</v>
      </c>
      <c r="AC41" s="138">
        <f t="shared" si="10"/>
        <v>53.3291533125</v>
      </c>
      <c r="AD41" s="138">
        <f t="shared" si="10"/>
        <v>54.11899775</v>
      </c>
      <c r="AE41" s="138">
        <f t="shared" si="10"/>
        <v>61.976298625</v>
      </c>
      <c r="AF41" s="138">
        <f t="shared" si="10"/>
        <v>63.28547284375</v>
      </c>
      <c r="AG41" s="138">
        <f>AVERAGE(B41:AF41)</f>
        <v>54.28914843447582</v>
      </c>
    </row>
    <row r="42" spans="1:33" ht="23.25">
      <c r="A42" s="58"/>
      <c r="B42" s="26"/>
      <c r="C42" s="60"/>
      <c r="D42" s="60"/>
      <c r="E42" s="60"/>
      <c r="F42" s="60"/>
      <c r="G42" s="60"/>
      <c r="H42" s="67"/>
      <c r="I42" s="68"/>
      <c r="J42" s="68"/>
      <c r="K42" s="68"/>
      <c r="L42" s="68"/>
      <c r="M42" s="68"/>
      <c r="N42" s="68"/>
      <c r="O42" s="68"/>
      <c r="P42" s="68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5"/>
    </row>
    <row r="43" spans="1:33" ht="23.25">
      <c r="A43" s="59" t="s">
        <v>20</v>
      </c>
      <c r="B43" s="59"/>
      <c r="C43" s="59"/>
      <c r="D43" s="59"/>
      <c r="E43" s="59"/>
      <c r="F43" s="59"/>
      <c r="G43" s="59"/>
      <c r="H43" s="59"/>
      <c r="I43" s="70"/>
      <c r="J43" s="70"/>
      <c r="K43" s="70"/>
      <c r="L43" s="70"/>
      <c r="M43" s="70"/>
      <c r="N43" s="70"/>
      <c r="O43" s="70"/>
      <c r="P43" s="70"/>
      <c r="Q43" s="67"/>
      <c r="R43" s="67"/>
      <c r="S43" s="59"/>
      <c r="T43" s="59"/>
      <c r="U43" s="59"/>
      <c r="V43" s="59"/>
      <c r="W43" s="59"/>
      <c r="X43" s="59"/>
      <c r="Y43" s="59"/>
      <c r="Z43" s="70"/>
      <c r="AA43" s="70"/>
      <c r="AB43" s="70"/>
      <c r="AC43" s="70"/>
      <c r="AD43" s="70"/>
      <c r="AE43" s="70"/>
      <c r="AF43" s="70"/>
      <c r="AG43" s="72"/>
    </row>
  </sheetData>
  <sheetProtection/>
  <printOptions/>
  <pageMargins left="0.2" right="0.2" top="0.5" bottom="0.31" header="0.5" footer="0.5"/>
  <pageSetup horizontalDpi="300" verticalDpi="300" orientation="landscape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4"/>
  <sheetViews>
    <sheetView zoomScale="55" zoomScaleNormal="55" zoomScalePageLayoutView="0" workbookViewId="0" topLeftCell="A1">
      <pane xSplit="1" ySplit="5" topLeftCell="I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:AE41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1" width="8.88671875" style="15" customWidth="1"/>
    <col min="32" max="32" width="8.88671875" style="37" customWidth="1"/>
    <col min="33" max="16384" width="8.88671875" style="15" customWidth="1"/>
  </cols>
  <sheetData>
    <row r="1" spans="1:32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3"/>
    </row>
    <row r="2" spans="1:32" ht="23.25">
      <c r="A2" s="1">
        <v>41426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3"/>
    </row>
    <row r="3" spans="1:32" ht="23.25">
      <c r="A3" s="3" t="s">
        <v>21</v>
      </c>
      <c r="Z3" s="4"/>
      <c r="AA3" s="3"/>
      <c r="AB3" s="4"/>
      <c r="AC3" s="4"/>
      <c r="AD3" s="4"/>
      <c r="AE3" s="4"/>
      <c r="AF3" s="38"/>
    </row>
    <row r="4" spans="1:35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3.2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31" t="s">
        <v>33</v>
      </c>
    </row>
    <row r="6" spans="1:32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3.25">
      <c r="A7" s="8" t="s">
        <v>1</v>
      </c>
      <c r="B7" s="45">
        <v>0</v>
      </c>
      <c r="C7" s="45">
        <v>0</v>
      </c>
      <c r="D7" s="45">
        <v>0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0</v>
      </c>
      <c r="R7" s="45">
        <v>0</v>
      </c>
      <c r="S7" s="45">
        <v>0</v>
      </c>
      <c r="T7" s="45">
        <v>0</v>
      </c>
      <c r="U7" s="45">
        <v>0</v>
      </c>
      <c r="V7" s="45">
        <v>0</v>
      </c>
      <c r="W7" s="45">
        <v>0</v>
      </c>
      <c r="X7" s="45">
        <v>0</v>
      </c>
      <c r="Y7" s="45">
        <v>0.7</v>
      </c>
      <c r="Z7" s="45">
        <v>1.1</v>
      </c>
      <c r="AA7" s="45">
        <v>0.9</v>
      </c>
      <c r="AB7" s="45">
        <v>0.7</v>
      </c>
      <c r="AC7" s="45">
        <v>0</v>
      </c>
      <c r="AD7" s="45">
        <v>0</v>
      </c>
      <c r="AE7" s="45">
        <v>0</v>
      </c>
      <c r="AF7" s="45"/>
    </row>
    <row r="8" spans="1:32" ht="23.25">
      <c r="A8" s="8" t="s">
        <v>2</v>
      </c>
      <c r="B8" s="45">
        <v>19</v>
      </c>
      <c r="C8" s="45">
        <v>18.1</v>
      </c>
      <c r="D8" s="45">
        <v>15.2</v>
      </c>
      <c r="E8" s="45">
        <v>16.1</v>
      </c>
      <c r="F8" s="45">
        <v>17.2</v>
      </c>
      <c r="G8" s="45">
        <v>17.9</v>
      </c>
      <c r="H8" s="45">
        <v>15.3</v>
      </c>
      <c r="I8" s="45">
        <v>15.7</v>
      </c>
      <c r="J8" s="45">
        <v>15.5</v>
      </c>
      <c r="K8" s="45">
        <v>15.3</v>
      </c>
      <c r="L8" s="45">
        <v>14.3</v>
      </c>
      <c r="M8" s="45">
        <v>18.5</v>
      </c>
      <c r="N8" s="45">
        <v>16.2</v>
      </c>
      <c r="O8" s="45">
        <v>14.6</v>
      </c>
      <c r="P8" s="45">
        <v>20.6</v>
      </c>
      <c r="Q8" s="45">
        <v>14.9</v>
      </c>
      <c r="R8" s="45">
        <v>16.9</v>
      </c>
      <c r="S8" s="45">
        <v>17</v>
      </c>
      <c r="T8" s="45">
        <v>15.3</v>
      </c>
      <c r="U8" s="45">
        <v>16.6</v>
      </c>
      <c r="V8" s="45">
        <v>17.1</v>
      </c>
      <c r="W8" s="45">
        <v>16.1</v>
      </c>
      <c r="X8" s="45">
        <v>16.3</v>
      </c>
      <c r="Y8" s="45">
        <v>16</v>
      </c>
      <c r="Z8" s="45">
        <v>16.7</v>
      </c>
      <c r="AA8" s="45">
        <v>17.8</v>
      </c>
      <c r="AB8" s="45">
        <v>17</v>
      </c>
      <c r="AC8" s="45">
        <v>18.7</v>
      </c>
      <c r="AD8" s="45">
        <v>15.9</v>
      </c>
      <c r="AE8" s="45">
        <v>16.7</v>
      </c>
      <c r="AF8" s="45"/>
    </row>
    <row r="9" spans="1:32" ht="23.25">
      <c r="A9" s="8"/>
      <c r="B9" s="77">
        <f aca="true" t="shared" si="0" ref="B9:AE9">SUM(B7:B8)</f>
        <v>19</v>
      </c>
      <c r="C9" s="77">
        <f t="shared" si="0"/>
        <v>18.1</v>
      </c>
      <c r="D9" s="77">
        <f t="shared" si="0"/>
        <v>15.2</v>
      </c>
      <c r="E9" s="77">
        <f t="shared" si="0"/>
        <v>16.1</v>
      </c>
      <c r="F9" s="77">
        <f t="shared" si="0"/>
        <v>17.2</v>
      </c>
      <c r="G9" s="77">
        <f t="shared" si="0"/>
        <v>17.9</v>
      </c>
      <c r="H9" s="77">
        <f t="shared" si="0"/>
        <v>15.3</v>
      </c>
      <c r="I9" s="77">
        <f t="shared" si="0"/>
        <v>15.7</v>
      </c>
      <c r="J9" s="77">
        <f t="shared" si="0"/>
        <v>15.5</v>
      </c>
      <c r="K9" s="77">
        <f t="shared" si="0"/>
        <v>15.3</v>
      </c>
      <c r="L9" s="77">
        <f t="shared" si="0"/>
        <v>14.3</v>
      </c>
      <c r="M9" s="77">
        <f t="shared" si="0"/>
        <v>18.5</v>
      </c>
      <c r="N9" s="77">
        <f t="shared" si="0"/>
        <v>16.2</v>
      </c>
      <c r="O9" s="77">
        <f t="shared" si="0"/>
        <v>14.6</v>
      </c>
      <c r="P9" s="77">
        <f t="shared" si="0"/>
        <v>20.6</v>
      </c>
      <c r="Q9" s="77">
        <f t="shared" si="0"/>
        <v>14.9</v>
      </c>
      <c r="R9" s="77">
        <f t="shared" si="0"/>
        <v>16.9</v>
      </c>
      <c r="S9" s="77">
        <f t="shared" si="0"/>
        <v>17</v>
      </c>
      <c r="T9" s="77">
        <f t="shared" si="0"/>
        <v>15.3</v>
      </c>
      <c r="U9" s="77">
        <f t="shared" si="0"/>
        <v>16.6</v>
      </c>
      <c r="V9" s="77">
        <f t="shared" si="0"/>
        <v>17.1</v>
      </c>
      <c r="W9" s="77">
        <f t="shared" si="0"/>
        <v>16.1</v>
      </c>
      <c r="X9" s="77">
        <f t="shared" si="0"/>
        <v>16.3</v>
      </c>
      <c r="Y9" s="77">
        <f t="shared" si="0"/>
        <v>16.7</v>
      </c>
      <c r="Z9" s="77">
        <f t="shared" si="0"/>
        <v>17.8</v>
      </c>
      <c r="AA9" s="77">
        <f t="shared" si="0"/>
        <v>18.7</v>
      </c>
      <c r="AB9" s="77">
        <f t="shared" si="0"/>
        <v>17.7</v>
      </c>
      <c r="AC9" s="77">
        <f t="shared" si="0"/>
        <v>18.7</v>
      </c>
      <c r="AD9" s="77">
        <f t="shared" si="0"/>
        <v>15.9</v>
      </c>
      <c r="AE9" s="77">
        <f t="shared" si="0"/>
        <v>16.7</v>
      </c>
      <c r="AF9" s="40">
        <f>AVERAGE(B9:AE9)</f>
        <v>16.73</v>
      </c>
    </row>
    <row r="10" spans="1:32" ht="23.25">
      <c r="A10" s="9" t="s">
        <v>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45"/>
    </row>
    <row r="11" spans="1:32" ht="23.25">
      <c r="A11" s="8" t="s">
        <v>19</v>
      </c>
      <c r="B11" s="161">
        <f>17.115-0.143</f>
        <v>16.971999999999998</v>
      </c>
      <c r="C11" s="161">
        <f>17.647-1.062</f>
        <v>16.584999999999997</v>
      </c>
      <c r="D11" s="161">
        <f>17.154-1.047</f>
        <v>16.107</v>
      </c>
      <c r="E11" s="161">
        <f>15.467-0.091</f>
        <v>15.376000000000001</v>
      </c>
      <c r="F11" s="161">
        <f>15.795-0.425</f>
        <v>15.37</v>
      </c>
      <c r="G11" s="162">
        <f>15.03-0.431</f>
        <v>14.599</v>
      </c>
      <c r="H11" s="162">
        <f>15.13-0.444</f>
        <v>14.686</v>
      </c>
      <c r="I11" s="163">
        <f>15.788-0.786</f>
        <v>15.002</v>
      </c>
      <c r="J11" s="162">
        <f>16.395-0.462</f>
        <v>15.933</v>
      </c>
      <c r="K11" s="162">
        <f>15.561-0.318</f>
        <v>15.243</v>
      </c>
      <c r="L11" s="161">
        <f>15.164-0.307</f>
        <v>14.857</v>
      </c>
      <c r="M11" s="45">
        <f>16.227-0.269</f>
        <v>15.958</v>
      </c>
      <c r="N11" s="45">
        <f>15.66-0.374</f>
        <v>15.286</v>
      </c>
      <c r="O11" s="45">
        <f>15.887-0.408</f>
        <v>15.479000000000001</v>
      </c>
      <c r="P11" s="45">
        <f>14.014-0.403</f>
        <v>13.610999999999999</v>
      </c>
      <c r="Q11" s="147">
        <f>15.001-0.203</f>
        <v>14.798</v>
      </c>
      <c r="R11" s="45">
        <f>14.117-0.262</f>
        <v>13.855</v>
      </c>
      <c r="S11" s="147">
        <f>14.361-0.372</f>
        <v>13.989</v>
      </c>
      <c r="T11" s="147">
        <f>17.38-0.493</f>
        <v>16.887</v>
      </c>
      <c r="U11" s="147">
        <f>14.928-0.457</f>
        <v>14.471</v>
      </c>
      <c r="V11" s="147">
        <f>15.183-0.448</f>
        <v>14.735</v>
      </c>
      <c r="W11" s="147">
        <f>14.844-0.447</f>
        <v>14.397</v>
      </c>
      <c r="X11" s="147">
        <f>16.015-0.426</f>
        <v>15.589</v>
      </c>
      <c r="Y11" s="147">
        <f>15.867-0.317</f>
        <v>15.55</v>
      </c>
      <c r="Z11" s="147">
        <f>15.515-0.28</f>
        <v>15.235000000000001</v>
      </c>
      <c r="AA11" s="147">
        <f>16.681-0.243</f>
        <v>16.438000000000002</v>
      </c>
      <c r="AB11" s="147">
        <f>16.185-0.245</f>
        <v>15.94</v>
      </c>
      <c r="AC11" s="147">
        <f>16.361-0.338</f>
        <v>16.023</v>
      </c>
      <c r="AD11" s="147">
        <f>16.17-0.357</f>
        <v>15.813000000000002</v>
      </c>
      <c r="AE11" s="147">
        <f>15.977-0.328</f>
        <v>15.649000000000001</v>
      </c>
      <c r="AF11" s="45"/>
    </row>
    <row r="12" spans="1:32" ht="23.25">
      <c r="A12" s="7" t="s">
        <v>28</v>
      </c>
      <c r="B12" s="161">
        <v>-0.143</v>
      </c>
      <c r="C12" s="161">
        <v>1.062</v>
      </c>
      <c r="D12" s="161">
        <v>1.047</v>
      </c>
      <c r="E12" s="161">
        <v>-0.091</v>
      </c>
      <c r="F12" s="161">
        <v>-0.424</v>
      </c>
      <c r="G12" s="162">
        <v>-0.431</v>
      </c>
      <c r="H12" s="162">
        <v>-0.444</v>
      </c>
      <c r="I12" s="162">
        <v>-0.486</v>
      </c>
      <c r="J12" s="162">
        <v>-0.462</v>
      </c>
      <c r="K12" s="164">
        <v>-0.318</v>
      </c>
      <c r="L12" s="161">
        <v>-0.307</v>
      </c>
      <c r="M12" s="45">
        <v>-0.269</v>
      </c>
      <c r="N12" s="45">
        <v>-0.374</v>
      </c>
      <c r="O12" s="45">
        <v>-0.408</v>
      </c>
      <c r="P12" s="45">
        <v>-0.403</v>
      </c>
      <c r="Q12" s="45">
        <v>-0.203</v>
      </c>
      <c r="R12" s="45">
        <v>-0.262</v>
      </c>
      <c r="S12" s="147">
        <v>-0.372</v>
      </c>
      <c r="T12" s="147">
        <v>-0.493</v>
      </c>
      <c r="U12" s="147">
        <v>-0.457</v>
      </c>
      <c r="V12" s="147">
        <v>-0.448</v>
      </c>
      <c r="W12" s="147">
        <v>-0.447</v>
      </c>
      <c r="X12" s="147">
        <v>-0.426</v>
      </c>
      <c r="Y12" s="147">
        <v>-0.317</v>
      </c>
      <c r="Z12" s="147">
        <v>-0.28</v>
      </c>
      <c r="AA12" s="147">
        <v>-0.243</v>
      </c>
      <c r="AB12" s="147">
        <v>-0.245</v>
      </c>
      <c r="AC12" s="147">
        <v>-0.338</v>
      </c>
      <c r="AD12" s="147">
        <v>-0.357</v>
      </c>
      <c r="AE12" s="147">
        <v>-0.328</v>
      </c>
      <c r="AF12" s="45"/>
    </row>
    <row r="13" spans="1:32" ht="23.25">
      <c r="A13" s="8" t="s">
        <v>5</v>
      </c>
      <c r="B13" s="161">
        <v>2.944</v>
      </c>
      <c r="C13" s="161">
        <v>2.931</v>
      </c>
      <c r="D13" s="161">
        <v>2.909</v>
      </c>
      <c r="E13" s="161">
        <v>2.935</v>
      </c>
      <c r="F13" s="161">
        <v>2.977</v>
      </c>
      <c r="G13" s="162">
        <v>3.096</v>
      </c>
      <c r="H13" s="164">
        <v>2.745</v>
      </c>
      <c r="I13" s="162">
        <v>2.94</v>
      </c>
      <c r="J13" s="162">
        <v>2.951</v>
      </c>
      <c r="K13" s="162">
        <v>2.994</v>
      </c>
      <c r="L13" s="161">
        <v>2.296</v>
      </c>
      <c r="M13" s="45">
        <v>2.939</v>
      </c>
      <c r="N13" s="45">
        <v>2.97</v>
      </c>
      <c r="O13" s="45">
        <v>2.926</v>
      </c>
      <c r="P13" s="45">
        <v>2.937</v>
      </c>
      <c r="Q13" s="45">
        <v>2.917</v>
      </c>
      <c r="R13" s="45">
        <v>2.919</v>
      </c>
      <c r="S13" s="147">
        <v>2.9</v>
      </c>
      <c r="T13" s="147">
        <v>3.016</v>
      </c>
      <c r="U13" s="147">
        <v>2.861</v>
      </c>
      <c r="V13" s="147">
        <v>2.917</v>
      </c>
      <c r="W13" s="147">
        <v>2.9</v>
      </c>
      <c r="X13" s="45">
        <v>2.97</v>
      </c>
      <c r="Y13" s="45">
        <v>2.693</v>
      </c>
      <c r="Z13" s="45">
        <v>3.232</v>
      </c>
      <c r="AA13" s="45">
        <v>2.917</v>
      </c>
      <c r="AB13" s="45">
        <v>2.821</v>
      </c>
      <c r="AC13" s="45">
        <v>2.856</v>
      </c>
      <c r="AD13" s="45">
        <v>2.851</v>
      </c>
      <c r="AE13" s="45">
        <v>2.929</v>
      </c>
      <c r="AF13" s="45"/>
    </row>
    <row r="14" spans="1:32" ht="23.25">
      <c r="A14" s="8" t="s">
        <v>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45"/>
    </row>
    <row r="15" spans="1:32" ht="23.25">
      <c r="A15" s="8" t="s">
        <v>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45"/>
    </row>
    <row r="16" spans="1:32" ht="23.25">
      <c r="A16" s="8"/>
      <c r="B16" s="77">
        <f aca="true" t="shared" si="1" ref="B16:AE16">SUM(B11:B15)</f>
        <v>19.772999999999996</v>
      </c>
      <c r="C16" s="77">
        <f t="shared" si="1"/>
        <v>20.578</v>
      </c>
      <c r="D16" s="77">
        <f t="shared" si="1"/>
        <v>20.063</v>
      </c>
      <c r="E16" s="77">
        <f t="shared" si="1"/>
        <v>18.220000000000002</v>
      </c>
      <c r="F16" s="77">
        <f t="shared" si="1"/>
        <v>17.923</v>
      </c>
      <c r="G16" s="77">
        <f t="shared" si="1"/>
        <v>17.264000000000003</v>
      </c>
      <c r="H16" s="77">
        <f t="shared" si="1"/>
        <v>16.987</v>
      </c>
      <c r="I16" s="77">
        <f t="shared" si="1"/>
        <v>17.456</v>
      </c>
      <c r="J16" s="77">
        <f t="shared" si="1"/>
        <v>18.422</v>
      </c>
      <c r="K16" s="77">
        <f t="shared" si="1"/>
        <v>17.919</v>
      </c>
      <c r="L16" s="77">
        <f t="shared" si="1"/>
        <v>16.846</v>
      </c>
      <c r="M16" s="77">
        <f t="shared" si="1"/>
        <v>18.628</v>
      </c>
      <c r="N16" s="77">
        <f t="shared" si="1"/>
        <v>17.881999999999998</v>
      </c>
      <c r="O16" s="77">
        <f t="shared" si="1"/>
        <v>17.997</v>
      </c>
      <c r="P16" s="77">
        <f t="shared" si="1"/>
        <v>16.145</v>
      </c>
      <c r="Q16" s="77">
        <f t="shared" si="1"/>
        <v>17.512</v>
      </c>
      <c r="R16" s="77">
        <f t="shared" si="1"/>
        <v>16.512</v>
      </c>
      <c r="S16" s="77">
        <f t="shared" si="1"/>
        <v>16.517</v>
      </c>
      <c r="T16" s="77">
        <f t="shared" si="1"/>
        <v>19.410000000000004</v>
      </c>
      <c r="U16" s="77">
        <f t="shared" si="1"/>
        <v>16.875</v>
      </c>
      <c r="V16" s="77">
        <f t="shared" si="1"/>
        <v>17.204</v>
      </c>
      <c r="W16" s="77">
        <f t="shared" si="1"/>
        <v>16.85</v>
      </c>
      <c r="X16" s="77">
        <f t="shared" si="1"/>
        <v>18.133</v>
      </c>
      <c r="Y16" s="77">
        <f t="shared" si="1"/>
        <v>17.926000000000002</v>
      </c>
      <c r="Z16" s="77">
        <f t="shared" si="1"/>
        <v>18.187</v>
      </c>
      <c r="AA16" s="77">
        <f t="shared" si="1"/>
        <v>19.112000000000002</v>
      </c>
      <c r="AB16" s="77">
        <f t="shared" si="1"/>
        <v>18.516000000000002</v>
      </c>
      <c r="AC16" s="77">
        <f t="shared" si="1"/>
        <v>18.541</v>
      </c>
      <c r="AD16" s="77">
        <f t="shared" si="1"/>
        <v>18.307000000000002</v>
      </c>
      <c r="AE16" s="77">
        <f t="shared" si="1"/>
        <v>18.25</v>
      </c>
      <c r="AF16" s="40">
        <f>AVERAGE(B16:AE16)</f>
        <v>17.9985</v>
      </c>
    </row>
    <row r="17" spans="1:32" ht="23.25">
      <c r="A17" s="16" t="s">
        <v>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45"/>
    </row>
    <row r="18" spans="1:32" ht="23.25">
      <c r="A18" s="14" t="s">
        <v>9</v>
      </c>
      <c r="B18" s="113">
        <v>21.31</v>
      </c>
      <c r="C18" s="113">
        <v>17.18</v>
      </c>
      <c r="D18" s="113">
        <v>17.19</v>
      </c>
      <c r="E18" s="113">
        <v>16.02</v>
      </c>
      <c r="F18" s="113">
        <v>19.06</v>
      </c>
      <c r="G18" s="113">
        <v>16.03</v>
      </c>
      <c r="H18" s="113">
        <v>14.16</v>
      </c>
      <c r="I18" s="113">
        <v>19.75</v>
      </c>
      <c r="J18" s="113">
        <v>15.97</v>
      </c>
      <c r="K18" s="113">
        <v>18.97</v>
      </c>
      <c r="L18" s="113">
        <v>15.23</v>
      </c>
      <c r="M18" s="113">
        <v>17.75</v>
      </c>
      <c r="N18" s="113">
        <v>16.76</v>
      </c>
      <c r="O18" s="113">
        <v>15.19</v>
      </c>
      <c r="P18" s="113">
        <v>16.52</v>
      </c>
      <c r="Q18" s="113">
        <v>16.05</v>
      </c>
      <c r="R18" s="113">
        <v>18.43</v>
      </c>
      <c r="S18" s="113">
        <v>15.33</v>
      </c>
      <c r="T18" s="113">
        <v>15.1</v>
      </c>
      <c r="U18" s="113">
        <v>19.69</v>
      </c>
      <c r="V18" s="113">
        <v>14.71</v>
      </c>
      <c r="W18" s="113">
        <v>16.06</v>
      </c>
      <c r="X18" s="113">
        <v>16.76</v>
      </c>
      <c r="Y18" s="113">
        <v>15.86</v>
      </c>
      <c r="Z18" s="113">
        <v>17.37</v>
      </c>
      <c r="AA18" s="113">
        <v>17.46</v>
      </c>
      <c r="AB18" s="113">
        <v>17.43</v>
      </c>
      <c r="AC18" s="113">
        <v>15.43</v>
      </c>
      <c r="AD18" s="113">
        <v>18.7</v>
      </c>
      <c r="AE18" s="113">
        <v>17.58</v>
      </c>
      <c r="AF18" s="45"/>
    </row>
    <row r="19" spans="1:32" ht="23.25">
      <c r="A19" s="18" t="s">
        <v>28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13">
        <v>0</v>
      </c>
      <c r="O19" s="113">
        <v>0</v>
      </c>
      <c r="P19" s="113">
        <v>0</v>
      </c>
      <c r="Q19" s="113">
        <v>0</v>
      </c>
      <c r="R19" s="113">
        <v>0</v>
      </c>
      <c r="S19" s="113">
        <v>0</v>
      </c>
      <c r="T19" s="113">
        <v>0</v>
      </c>
      <c r="U19" s="113">
        <v>0</v>
      </c>
      <c r="V19" s="113">
        <v>0</v>
      </c>
      <c r="W19" s="113">
        <v>0</v>
      </c>
      <c r="X19" s="113">
        <v>0</v>
      </c>
      <c r="Y19" s="113">
        <v>0</v>
      </c>
      <c r="Z19" s="112">
        <v>0.2</v>
      </c>
      <c r="AA19" s="112">
        <v>0.35</v>
      </c>
      <c r="AB19" s="112">
        <v>0.35</v>
      </c>
      <c r="AC19" s="112">
        <v>0.35</v>
      </c>
      <c r="AD19" s="112">
        <v>0.36</v>
      </c>
      <c r="AE19" s="112">
        <v>0.35</v>
      </c>
      <c r="AF19" s="45"/>
    </row>
    <row r="20" spans="1:32" ht="23.25">
      <c r="A20" s="14" t="s">
        <v>10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45"/>
    </row>
    <row r="21" spans="1:32" ht="23.25">
      <c r="A21" s="14" t="s">
        <v>25</v>
      </c>
      <c r="B21" s="131">
        <v>63</v>
      </c>
      <c r="C21" s="131">
        <v>53</v>
      </c>
      <c r="D21" s="131">
        <v>50</v>
      </c>
      <c r="E21" s="131">
        <v>44</v>
      </c>
      <c r="F21" s="131">
        <v>54</v>
      </c>
      <c r="G21" s="131">
        <v>48</v>
      </c>
      <c r="H21" s="131">
        <v>39</v>
      </c>
      <c r="I21" s="131">
        <v>26</v>
      </c>
      <c r="J21" s="131">
        <v>36</v>
      </c>
      <c r="K21" s="131">
        <v>38</v>
      </c>
      <c r="L21" s="131">
        <v>27</v>
      </c>
      <c r="M21" s="131">
        <v>31</v>
      </c>
      <c r="N21" s="131">
        <v>37</v>
      </c>
      <c r="O21" s="131">
        <v>29</v>
      </c>
      <c r="P21" s="131">
        <v>35</v>
      </c>
      <c r="Q21" s="131">
        <v>44</v>
      </c>
      <c r="R21" s="131">
        <v>46</v>
      </c>
      <c r="S21" s="131">
        <v>33</v>
      </c>
      <c r="T21" s="131">
        <v>37</v>
      </c>
      <c r="U21" s="131">
        <v>41</v>
      </c>
      <c r="V21" s="131">
        <v>42</v>
      </c>
      <c r="W21" s="131">
        <v>45</v>
      </c>
      <c r="X21" s="131">
        <v>47</v>
      </c>
      <c r="Y21" s="131">
        <v>46</v>
      </c>
      <c r="Z21" s="131">
        <v>48</v>
      </c>
      <c r="AA21" s="131">
        <v>42</v>
      </c>
      <c r="AB21" s="131">
        <v>49</v>
      </c>
      <c r="AC21" s="131">
        <v>29</v>
      </c>
      <c r="AD21" s="131">
        <v>26</v>
      </c>
      <c r="AE21" s="131">
        <v>28</v>
      </c>
      <c r="AF21" s="149"/>
    </row>
    <row r="22" spans="1:32" ht="23.25">
      <c r="A22" s="14" t="s">
        <v>24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45"/>
    </row>
    <row r="23" spans="1:32" ht="23.25">
      <c r="A23" s="14" t="s">
        <v>26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45"/>
    </row>
    <row r="24" spans="1:32" ht="23.25">
      <c r="A24" s="14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45"/>
    </row>
    <row r="25" spans="1:32" ht="23.25">
      <c r="A25" s="14" t="s">
        <v>18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45"/>
    </row>
    <row r="26" spans="1:32" ht="23.25">
      <c r="A26" s="14" t="s">
        <v>5</v>
      </c>
      <c r="B26" s="113">
        <v>0.3</v>
      </c>
      <c r="C26" s="113">
        <v>0.3</v>
      </c>
      <c r="D26" s="113">
        <v>0.3</v>
      </c>
      <c r="E26" s="113">
        <v>0.3</v>
      </c>
      <c r="F26" s="113">
        <v>0.3</v>
      </c>
      <c r="G26" s="113">
        <v>0.3</v>
      </c>
      <c r="H26" s="113">
        <v>0.3</v>
      </c>
      <c r="I26" s="113">
        <v>0.1</v>
      </c>
      <c r="J26" s="113">
        <v>0.1</v>
      </c>
      <c r="K26" s="113">
        <v>0.1</v>
      </c>
      <c r="L26" s="113">
        <v>0.1</v>
      </c>
      <c r="M26" s="113">
        <v>0.1</v>
      </c>
      <c r="N26" s="113">
        <v>0.1</v>
      </c>
      <c r="O26" s="113">
        <v>0.1</v>
      </c>
      <c r="P26" s="113">
        <v>0.1</v>
      </c>
      <c r="Q26" s="113">
        <v>0.3</v>
      </c>
      <c r="R26" s="113">
        <v>0.3</v>
      </c>
      <c r="S26" s="113">
        <v>0.3</v>
      </c>
      <c r="T26" s="113">
        <v>0.3</v>
      </c>
      <c r="U26" s="113">
        <v>0.3</v>
      </c>
      <c r="V26" s="113">
        <v>0.3</v>
      </c>
      <c r="W26" s="113">
        <v>0.4</v>
      </c>
      <c r="X26" s="113">
        <v>0.4</v>
      </c>
      <c r="Y26" s="113">
        <v>0.4</v>
      </c>
      <c r="Z26" s="113">
        <v>0.4</v>
      </c>
      <c r="AA26" s="113">
        <v>0.4</v>
      </c>
      <c r="AB26" s="113">
        <v>0.4</v>
      </c>
      <c r="AC26" s="113">
        <v>0.4</v>
      </c>
      <c r="AD26" s="113">
        <v>0.4</v>
      </c>
      <c r="AE26" s="113">
        <v>0.4</v>
      </c>
      <c r="AF26" s="45"/>
    </row>
    <row r="27" spans="1:32" ht="23.25">
      <c r="A27" s="14" t="s">
        <v>11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45"/>
    </row>
    <row r="28" spans="1:32" ht="23.25">
      <c r="A28" s="14" t="s">
        <v>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45"/>
    </row>
    <row r="29" spans="1:32" ht="23.25">
      <c r="A29" s="8"/>
      <c r="B29" s="77">
        <f>SUM(B18+B19+B20+B25+B26+B27+B28)</f>
        <v>21.61</v>
      </c>
      <c r="C29" s="77">
        <f aca="true" t="shared" si="2" ref="C29:AE29">SUM(C18+C19+C20+C25+C26+C27+C28)</f>
        <v>17.48</v>
      </c>
      <c r="D29" s="77">
        <f t="shared" si="2"/>
        <v>17.490000000000002</v>
      </c>
      <c r="E29" s="77">
        <f t="shared" si="2"/>
        <v>16.32</v>
      </c>
      <c r="F29" s="77">
        <f t="shared" si="2"/>
        <v>19.36</v>
      </c>
      <c r="G29" s="77">
        <f t="shared" si="2"/>
        <v>16.330000000000002</v>
      </c>
      <c r="H29" s="77">
        <f t="shared" si="2"/>
        <v>14.46</v>
      </c>
      <c r="I29" s="77">
        <f t="shared" si="2"/>
        <v>19.85</v>
      </c>
      <c r="J29" s="77">
        <f t="shared" si="2"/>
        <v>16.07</v>
      </c>
      <c r="K29" s="77">
        <f t="shared" si="2"/>
        <v>19.07</v>
      </c>
      <c r="L29" s="77">
        <f t="shared" si="2"/>
        <v>15.33</v>
      </c>
      <c r="M29" s="77">
        <f t="shared" si="2"/>
        <v>17.85</v>
      </c>
      <c r="N29" s="77">
        <f t="shared" si="2"/>
        <v>16.860000000000003</v>
      </c>
      <c r="O29" s="77">
        <f t="shared" si="2"/>
        <v>15.29</v>
      </c>
      <c r="P29" s="77">
        <f t="shared" si="2"/>
        <v>16.62</v>
      </c>
      <c r="Q29" s="77">
        <f t="shared" si="2"/>
        <v>16.35</v>
      </c>
      <c r="R29" s="77">
        <f t="shared" si="2"/>
        <v>18.73</v>
      </c>
      <c r="S29" s="77">
        <f t="shared" si="2"/>
        <v>15.63</v>
      </c>
      <c r="T29" s="77">
        <f t="shared" si="2"/>
        <v>15.4</v>
      </c>
      <c r="U29" s="77">
        <f t="shared" si="2"/>
        <v>19.990000000000002</v>
      </c>
      <c r="V29" s="77">
        <f t="shared" si="2"/>
        <v>15.010000000000002</v>
      </c>
      <c r="W29" s="77">
        <f t="shared" si="2"/>
        <v>16.459999999999997</v>
      </c>
      <c r="X29" s="77">
        <f t="shared" si="2"/>
        <v>17.16</v>
      </c>
      <c r="Y29" s="77">
        <f t="shared" si="2"/>
        <v>16.259999999999998</v>
      </c>
      <c r="Z29" s="77">
        <f t="shared" si="2"/>
        <v>17.97</v>
      </c>
      <c r="AA29" s="77">
        <f t="shared" si="2"/>
        <v>18.21</v>
      </c>
      <c r="AB29" s="77">
        <f t="shared" si="2"/>
        <v>18.18</v>
      </c>
      <c r="AC29" s="77">
        <f t="shared" si="2"/>
        <v>16.18</v>
      </c>
      <c r="AD29" s="77">
        <f t="shared" si="2"/>
        <v>19.459999999999997</v>
      </c>
      <c r="AE29" s="77">
        <f t="shared" si="2"/>
        <v>18.33</v>
      </c>
      <c r="AF29" s="40">
        <f>AVERAGE(B29:AE29)</f>
        <v>17.310333333333336</v>
      </c>
    </row>
    <row r="30" spans="1:32" ht="23.25">
      <c r="A30" s="9" t="s">
        <v>12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45"/>
    </row>
    <row r="31" spans="1:32" ht="23.25">
      <c r="A31" s="8" t="s">
        <v>13</v>
      </c>
      <c r="B31" s="45">
        <v>2.2</v>
      </c>
      <c r="C31" s="45">
        <v>2.1</v>
      </c>
      <c r="D31" s="45">
        <v>2.3</v>
      </c>
      <c r="E31" s="45">
        <v>0</v>
      </c>
      <c r="F31" s="45">
        <v>2.3</v>
      </c>
      <c r="G31" s="45">
        <v>1.4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1.3</v>
      </c>
      <c r="W31" s="45">
        <v>2.3</v>
      </c>
      <c r="X31" s="45">
        <v>1.4</v>
      </c>
      <c r="Y31" s="45">
        <v>1.7</v>
      </c>
      <c r="Z31" s="45">
        <v>1.9</v>
      </c>
      <c r="AA31" s="45">
        <v>2.4</v>
      </c>
      <c r="AB31" s="45">
        <v>2.1</v>
      </c>
      <c r="AC31" s="45">
        <v>0</v>
      </c>
      <c r="AD31" s="45">
        <v>0</v>
      </c>
      <c r="AE31" s="45">
        <v>0</v>
      </c>
      <c r="AF31" s="45"/>
    </row>
    <row r="32" spans="1:32" ht="23.25">
      <c r="A32" s="8" t="s">
        <v>31</v>
      </c>
      <c r="B32" s="45">
        <v>0</v>
      </c>
      <c r="C32" s="45">
        <v>0</v>
      </c>
      <c r="D32" s="45">
        <v>0</v>
      </c>
      <c r="E32" s="45">
        <v>1.3</v>
      </c>
      <c r="F32" s="45">
        <v>0</v>
      </c>
      <c r="G32" s="45">
        <v>0</v>
      </c>
      <c r="H32" s="45">
        <v>1.6</v>
      </c>
      <c r="I32" s="45">
        <v>1.7</v>
      </c>
      <c r="J32" s="45">
        <v>1.3</v>
      </c>
      <c r="K32" s="45">
        <v>2.3</v>
      </c>
      <c r="L32" s="45">
        <v>1.9</v>
      </c>
      <c r="M32" s="45">
        <v>2.1</v>
      </c>
      <c r="N32" s="45">
        <v>1.8</v>
      </c>
      <c r="O32" s="45">
        <v>1.5</v>
      </c>
      <c r="P32" s="45">
        <v>1.8</v>
      </c>
      <c r="Q32" s="45">
        <v>1.7</v>
      </c>
      <c r="R32" s="45">
        <v>1.5</v>
      </c>
      <c r="S32" s="45">
        <v>2</v>
      </c>
      <c r="T32" s="45">
        <v>2.1</v>
      </c>
      <c r="U32" s="45">
        <v>2.3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1.9</v>
      </c>
      <c r="AD32" s="45">
        <v>2</v>
      </c>
      <c r="AE32" s="45">
        <v>1.7</v>
      </c>
      <c r="AF32" s="45">
        <f>SUM(B32:AE32)</f>
        <v>32.5</v>
      </c>
    </row>
    <row r="33" spans="1:32" ht="23.25">
      <c r="A33" s="8" t="s">
        <v>4</v>
      </c>
      <c r="B33" s="45">
        <v>1.4</v>
      </c>
      <c r="C33" s="45">
        <v>1.4</v>
      </c>
      <c r="D33" s="45">
        <v>1.4</v>
      </c>
      <c r="E33" s="45">
        <v>1.4</v>
      </c>
      <c r="F33" s="45">
        <v>1.4</v>
      </c>
      <c r="G33" s="45">
        <v>1.4</v>
      </c>
      <c r="H33" s="45">
        <v>1.4</v>
      </c>
      <c r="I33" s="45">
        <v>1.4</v>
      </c>
      <c r="J33" s="45">
        <v>1.4</v>
      </c>
      <c r="K33" s="45">
        <v>1.4</v>
      </c>
      <c r="L33" s="45">
        <v>1.4</v>
      </c>
      <c r="M33" s="45">
        <v>1.4</v>
      </c>
      <c r="N33" s="45">
        <v>1.4</v>
      </c>
      <c r="O33" s="45">
        <v>1.4</v>
      </c>
      <c r="P33" s="45">
        <v>1.4</v>
      </c>
      <c r="Q33" s="45">
        <v>1.4</v>
      </c>
      <c r="R33" s="45">
        <v>1.4</v>
      </c>
      <c r="S33" s="45">
        <v>1.4</v>
      </c>
      <c r="T33" s="45">
        <v>1.4</v>
      </c>
      <c r="U33" s="45">
        <v>1.4</v>
      </c>
      <c r="V33" s="45">
        <v>1.4</v>
      </c>
      <c r="W33" s="45">
        <v>1.4</v>
      </c>
      <c r="X33" s="45">
        <v>1.4</v>
      </c>
      <c r="Y33" s="45">
        <v>1.4</v>
      </c>
      <c r="Z33" s="45">
        <v>1.4</v>
      </c>
      <c r="AA33" s="45">
        <v>1.4</v>
      </c>
      <c r="AB33" s="45">
        <v>1.4</v>
      </c>
      <c r="AC33" s="45">
        <v>1.4</v>
      </c>
      <c r="AD33" s="45">
        <v>1.4</v>
      </c>
      <c r="AE33" s="45">
        <v>1.4</v>
      </c>
      <c r="AF33" s="45"/>
    </row>
    <row r="34" spans="1:32" ht="23.25">
      <c r="A34" s="8" t="s">
        <v>14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/>
    </row>
    <row r="35" spans="1:32" ht="23.25">
      <c r="A35" s="8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/>
    </row>
    <row r="36" spans="1:32" ht="23.25">
      <c r="A36" s="9"/>
      <c r="B36" s="77">
        <f aca="true" t="shared" si="3" ref="B36:AE36">SUM(B31:B35)</f>
        <v>3.6</v>
      </c>
      <c r="C36" s="77">
        <f t="shared" si="3"/>
        <v>3.5</v>
      </c>
      <c r="D36" s="77">
        <f t="shared" si="3"/>
        <v>3.6999999999999997</v>
      </c>
      <c r="E36" s="77">
        <f t="shared" si="3"/>
        <v>2.7</v>
      </c>
      <c r="F36" s="77">
        <f t="shared" si="3"/>
        <v>3.6999999999999997</v>
      </c>
      <c r="G36" s="77">
        <f t="shared" si="3"/>
        <v>2.8</v>
      </c>
      <c r="H36" s="77">
        <f t="shared" si="3"/>
        <v>3</v>
      </c>
      <c r="I36" s="77">
        <f t="shared" si="3"/>
        <v>3.0999999999999996</v>
      </c>
      <c r="J36" s="77">
        <f t="shared" si="3"/>
        <v>2.7</v>
      </c>
      <c r="K36" s="77">
        <f t="shared" si="3"/>
        <v>3.6999999999999997</v>
      </c>
      <c r="L36" s="77">
        <f t="shared" si="3"/>
        <v>3.3</v>
      </c>
      <c r="M36" s="77">
        <f t="shared" si="3"/>
        <v>3.5</v>
      </c>
      <c r="N36" s="77">
        <f t="shared" si="3"/>
        <v>3.2</v>
      </c>
      <c r="O36" s="77">
        <f t="shared" si="3"/>
        <v>2.9</v>
      </c>
      <c r="P36" s="77">
        <f t="shared" si="3"/>
        <v>3.2</v>
      </c>
      <c r="Q36" s="77">
        <f t="shared" si="3"/>
        <v>3.0999999999999996</v>
      </c>
      <c r="R36" s="77">
        <f t="shared" si="3"/>
        <v>2.9</v>
      </c>
      <c r="S36" s="77">
        <f t="shared" si="3"/>
        <v>3.4</v>
      </c>
      <c r="T36" s="77">
        <f t="shared" si="3"/>
        <v>3.5</v>
      </c>
      <c r="U36" s="77">
        <f t="shared" si="3"/>
        <v>3.6999999999999997</v>
      </c>
      <c r="V36" s="77">
        <f t="shared" si="3"/>
        <v>2.7</v>
      </c>
      <c r="W36" s="77">
        <f t="shared" si="3"/>
        <v>3.6999999999999997</v>
      </c>
      <c r="X36" s="77">
        <f t="shared" si="3"/>
        <v>2.8</v>
      </c>
      <c r="Y36" s="77">
        <f t="shared" si="3"/>
        <v>3.0999999999999996</v>
      </c>
      <c r="Z36" s="77">
        <f t="shared" si="3"/>
        <v>3.3</v>
      </c>
      <c r="AA36" s="77">
        <f t="shared" si="3"/>
        <v>3.8</v>
      </c>
      <c r="AB36" s="77">
        <f t="shared" si="3"/>
        <v>3.5</v>
      </c>
      <c r="AC36" s="77">
        <f t="shared" si="3"/>
        <v>3.3</v>
      </c>
      <c r="AD36" s="77">
        <f t="shared" si="3"/>
        <v>3.4</v>
      </c>
      <c r="AE36" s="77">
        <f t="shared" si="3"/>
        <v>3.0999999999999996</v>
      </c>
      <c r="AF36" s="40">
        <f>AVERAGE(B36:AE36)</f>
        <v>3.263333333333333</v>
      </c>
    </row>
    <row r="37" spans="1:32" ht="23.25">
      <c r="A37" s="9" t="s">
        <v>15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40" t="s">
        <v>29</v>
      </c>
    </row>
    <row r="38" spans="1:32" ht="23.25">
      <c r="A38" s="8" t="s">
        <v>4</v>
      </c>
      <c r="B38" s="113">
        <v>0.43626875</v>
      </c>
      <c r="C38" s="113">
        <v>0.3980911875</v>
      </c>
      <c r="D38" s="113">
        <v>0.4705015</v>
      </c>
      <c r="E38" s="113">
        <v>0.45128628125</v>
      </c>
      <c r="F38" s="113">
        <v>0.4561279375</v>
      </c>
      <c r="G38" s="113">
        <v>0.46158284375</v>
      </c>
      <c r="H38" s="113">
        <v>0.462058875</v>
      </c>
      <c r="I38" s="113">
        <v>0.43626875</v>
      </c>
      <c r="J38" s="113">
        <v>0.3980911875</v>
      </c>
      <c r="K38" s="113">
        <v>0.4705015</v>
      </c>
      <c r="L38" s="113">
        <v>0.45128628125</v>
      </c>
      <c r="M38" s="113">
        <v>0.4561279375</v>
      </c>
      <c r="N38" s="113">
        <v>0.46158284375</v>
      </c>
      <c r="O38" s="113">
        <v>0.462058875</v>
      </c>
      <c r="P38" s="113">
        <v>0.35561709375</v>
      </c>
      <c r="Q38" s="113">
        <v>0.35115325</v>
      </c>
      <c r="R38" s="113">
        <v>0.4161910625</v>
      </c>
      <c r="S38" s="113">
        <v>0.6080494375</v>
      </c>
      <c r="T38" s="113">
        <v>0.4721595</v>
      </c>
      <c r="U38" s="113">
        <v>0.39990225</v>
      </c>
      <c r="V38" s="113">
        <v>0.45339865625</v>
      </c>
      <c r="W38" s="113">
        <v>0.4287981875</v>
      </c>
      <c r="X38" s="113">
        <v>0.335325375</v>
      </c>
      <c r="Y38" s="113">
        <v>0.42732409375</v>
      </c>
      <c r="Z38" s="113">
        <v>0.4184618125</v>
      </c>
      <c r="AA38" s="113">
        <v>0.43153759375</v>
      </c>
      <c r="AB38" s="113">
        <v>0.4462905625</v>
      </c>
      <c r="AC38" s="113">
        <v>0.5427698125</v>
      </c>
      <c r="AD38" s="113">
        <v>0.4846165625</v>
      </c>
      <c r="AE38" s="113">
        <v>0.3368815</v>
      </c>
      <c r="AF38" s="40">
        <f>AVERAGE(B38:AE38)</f>
        <v>0.4393437166666667</v>
      </c>
    </row>
    <row r="39" spans="1:32" ht="23.25">
      <c r="A39" s="8" t="s">
        <v>16</v>
      </c>
      <c r="B39" s="77">
        <f aca="true" t="shared" si="4" ref="B39:AE39">SUM(B38,B36,B29,B16,B9)</f>
        <v>64.41926874999999</v>
      </c>
      <c r="C39" s="77">
        <f t="shared" si="4"/>
        <v>60.0560911875</v>
      </c>
      <c r="D39" s="77">
        <f t="shared" si="4"/>
        <v>56.9235015</v>
      </c>
      <c r="E39" s="77">
        <f t="shared" si="4"/>
        <v>53.79128628125</v>
      </c>
      <c r="F39" s="77">
        <f t="shared" si="4"/>
        <v>58.63912793749999</v>
      </c>
      <c r="G39" s="77">
        <f t="shared" si="4"/>
        <v>54.75558284375</v>
      </c>
      <c r="H39" s="77">
        <f t="shared" si="4"/>
        <v>50.209058875</v>
      </c>
      <c r="I39" s="77">
        <f t="shared" si="4"/>
        <v>56.542268750000005</v>
      </c>
      <c r="J39" s="77">
        <f t="shared" si="4"/>
        <v>53.0900911875</v>
      </c>
      <c r="K39" s="77">
        <f t="shared" si="4"/>
        <v>56.4595015</v>
      </c>
      <c r="L39" s="77">
        <f t="shared" si="4"/>
        <v>50.22728628125</v>
      </c>
      <c r="M39" s="77">
        <f t="shared" si="4"/>
        <v>58.9341279375</v>
      </c>
      <c r="N39" s="77">
        <f t="shared" si="4"/>
        <v>54.603582843750004</v>
      </c>
      <c r="O39" s="77">
        <f t="shared" si="4"/>
        <v>51.249058874999996</v>
      </c>
      <c r="P39" s="77">
        <f t="shared" si="4"/>
        <v>56.92061709375</v>
      </c>
      <c r="Q39" s="77">
        <f t="shared" si="4"/>
        <v>52.21315325</v>
      </c>
      <c r="R39" s="77">
        <f t="shared" si="4"/>
        <v>55.4581910625</v>
      </c>
      <c r="S39" s="77">
        <f t="shared" si="4"/>
        <v>53.1550494375</v>
      </c>
      <c r="T39" s="77">
        <f t="shared" si="4"/>
        <v>54.0821595</v>
      </c>
      <c r="U39" s="77">
        <f t="shared" si="4"/>
        <v>57.56490225</v>
      </c>
      <c r="V39" s="77">
        <f t="shared" si="4"/>
        <v>52.467398656250005</v>
      </c>
      <c r="W39" s="77">
        <f t="shared" si="4"/>
        <v>53.5387981875</v>
      </c>
      <c r="X39" s="77">
        <f t="shared" si="4"/>
        <v>54.728325375</v>
      </c>
      <c r="Y39" s="77">
        <f t="shared" si="4"/>
        <v>54.413324093750006</v>
      </c>
      <c r="Z39" s="77">
        <f t="shared" si="4"/>
        <v>57.675461812500004</v>
      </c>
      <c r="AA39" s="77">
        <f t="shared" si="4"/>
        <v>60.253537593749996</v>
      </c>
      <c r="AB39" s="77">
        <f t="shared" si="4"/>
        <v>58.3422905625</v>
      </c>
      <c r="AC39" s="77">
        <f t="shared" si="4"/>
        <v>57.2637698125</v>
      </c>
      <c r="AD39" s="77">
        <f t="shared" si="4"/>
        <v>57.551616562499994</v>
      </c>
      <c r="AE39" s="77">
        <f t="shared" si="4"/>
        <v>56.7168815</v>
      </c>
      <c r="AF39" s="40"/>
    </row>
    <row r="40" spans="1:32" ht="23.25">
      <c r="A40" s="8" t="s">
        <v>17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45"/>
    </row>
    <row r="41" spans="1:32" ht="23.25">
      <c r="A41" s="9" t="s">
        <v>22</v>
      </c>
      <c r="B41" s="77">
        <f aca="true" t="shared" si="5" ref="B41:AE41">B39-B40</f>
        <v>64.41926874999999</v>
      </c>
      <c r="C41" s="77">
        <f t="shared" si="5"/>
        <v>60.0560911875</v>
      </c>
      <c r="D41" s="77">
        <f t="shared" si="5"/>
        <v>56.9235015</v>
      </c>
      <c r="E41" s="77">
        <f t="shared" si="5"/>
        <v>53.79128628125</v>
      </c>
      <c r="F41" s="77">
        <f t="shared" si="5"/>
        <v>58.63912793749999</v>
      </c>
      <c r="G41" s="77">
        <f t="shared" si="5"/>
        <v>54.75558284375</v>
      </c>
      <c r="H41" s="77">
        <f t="shared" si="5"/>
        <v>50.209058875</v>
      </c>
      <c r="I41" s="77">
        <f t="shared" si="5"/>
        <v>56.542268750000005</v>
      </c>
      <c r="J41" s="77">
        <f t="shared" si="5"/>
        <v>53.0900911875</v>
      </c>
      <c r="K41" s="77">
        <f t="shared" si="5"/>
        <v>56.4595015</v>
      </c>
      <c r="L41" s="77">
        <f t="shared" si="5"/>
        <v>50.22728628125</v>
      </c>
      <c r="M41" s="77">
        <f t="shared" si="5"/>
        <v>58.9341279375</v>
      </c>
      <c r="N41" s="77">
        <f t="shared" si="5"/>
        <v>54.603582843750004</v>
      </c>
      <c r="O41" s="77">
        <f t="shared" si="5"/>
        <v>51.249058874999996</v>
      </c>
      <c r="P41" s="77">
        <f t="shared" si="5"/>
        <v>56.92061709375</v>
      </c>
      <c r="Q41" s="77">
        <f t="shared" si="5"/>
        <v>52.21315325</v>
      </c>
      <c r="R41" s="77">
        <f t="shared" si="5"/>
        <v>55.4581910625</v>
      </c>
      <c r="S41" s="77">
        <f t="shared" si="5"/>
        <v>53.1550494375</v>
      </c>
      <c r="T41" s="77">
        <f t="shared" si="5"/>
        <v>54.0821595</v>
      </c>
      <c r="U41" s="77">
        <f t="shared" si="5"/>
        <v>57.56490225</v>
      </c>
      <c r="V41" s="77">
        <f t="shared" si="5"/>
        <v>52.467398656250005</v>
      </c>
      <c r="W41" s="77">
        <f t="shared" si="5"/>
        <v>53.5387981875</v>
      </c>
      <c r="X41" s="77">
        <f t="shared" si="5"/>
        <v>54.728325375</v>
      </c>
      <c r="Y41" s="77">
        <f t="shared" si="5"/>
        <v>54.413324093750006</v>
      </c>
      <c r="Z41" s="77">
        <f t="shared" si="5"/>
        <v>57.675461812500004</v>
      </c>
      <c r="AA41" s="77">
        <f t="shared" si="5"/>
        <v>60.253537593749996</v>
      </c>
      <c r="AB41" s="77">
        <f t="shared" si="5"/>
        <v>58.3422905625</v>
      </c>
      <c r="AC41" s="77">
        <f t="shared" si="5"/>
        <v>57.2637698125</v>
      </c>
      <c r="AD41" s="77">
        <f t="shared" si="5"/>
        <v>57.551616562499994</v>
      </c>
      <c r="AE41" s="77">
        <f t="shared" si="5"/>
        <v>56.7168815</v>
      </c>
      <c r="AF41" s="40">
        <f>AVERAGE(B41:AE41)</f>
        <v>55.74151038333333</v>
      </c>
    </row>
    <row r="42" spans="1:32" ht="23.2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4"/>
    </row>
    <row r="43" spans="1:32" ht="23.25">
      <c r="A43" s="8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47"/>
    </row>
    <row r="44" spans="2:32" ht="23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4"/>
    </row>
  </sheetData>
  <sheetProtection/>
  <printOptions/>
  <pageMargins left="0.37" right="0.22" top="0.46" bottom="0.47" header="0.43" footer="0.5"/>
  <pageSetup horizontalDpi="300" verticalDpi="300" orientation="landscape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44"/>
  <sheetViews>
    <sheetView zoomScale="55" zoomScaleNormal="55" zoomScalePageLayoutView="0" workbookViewId="0" topLeftCell="A1">
      <pane xSplit="1" ySplit="5" topLeftCell="J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41" sqref="B41:AF41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2" width="8.88671875" style="15" customWidth="1"/>
    <col min="33" max="33" width="10.3359375" style="37" bestFit="1" customWidth="1"/>
    <col min="34" max="16384" width="8.88671875" style="15" customWidth="1"/>
  </cols>
  <sheetData>
    <row r="1" spans="1:33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3"/>
    </row>
    <row r="2" spans="1:33" ht="23.25">
      <c r="A2" s="1">
        <v>41456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3"/>
    </row>
    <row r="3" spans="1:33" ht="23.25">
      <c r="A3" s="3" t="s">
        <v>21</v>
      </c>
      <c r="Z3" s="4"/>
      <c r="AA3" s="3"/>
      <c r="AB3" s="4"/>
      <c r="AC3" s="4"/>
      <c r="AD3" s="4"/>
      <c r="AE3" s="4"/>
      <c r="AF3" s="4"/>
      <c r="AG3" s="38"/>
    </row>
    <row r="4" spans="1:36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31" t="s">
        <v>33</v>
      </c>
    </row>
    <row r="6" spans="1:33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8" t="s">
        <v>1</v>
      </c>
      <c r="B7" s="45">
        <v>1.2</v>
      </c>
      <c r="C7" s="45">
        <v>1.6</v>
      </c>
      <c r="D7" s="45">
        <v>1.2</v>
      </c>
      <c r="E7" s="45">
        <v>0</v>
      </c>
      <c r="F7" s="45">
        <v>0</v>
      </c>
      <c r="G7" s="45">
        <v>0</v>
      </c>
      <c r="H7" s="45">
        <v>0</v>
      </c>
      <c r="I7" s="45">
        <v>0</v>
      </c>
      <c r="J7" s="45">
        <v>0.3</v>
      </c>
      <c r="K7" s="45">
        <v>0.1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5">
        <v>1.4</v>
      </c>
      <c r="R7" s="45">
        <v>1.8</v>
      </c>
      <c r="S7" s="45">
        <v>4.8</v>
      </c>
      <c r="T7" s="45">
        <v>4.2</v>
      </c>
      <c r="U7" s="45">
        <v>1.4</v>
      </c>
      <c r="V7" s="45">
        <v>3.9</v>
      </c>
      <c r="W7" s="45">
        <v>4.3</v>
      </c>
      <c r="X7" s="45">
        <v>2.1</v>
      </c>
      <c r="Y7" s="45">
        <v>2.6</v>
      </c>
      <c r="Z7" s="45">
        <v>3.1</v>
      </c>
      <c r="AA7" s="45">
        <v>3</v>
      </c>
      <c r="AB7" s="45">
        <v>0.1</v>
      </c>
      <c r="AC7" s="45">
        <v>2.3</v>
      </c>
      <c r="AD7" s="45">
        <v>3.3</v>
      </c>
      <c r="AE7" s="45">
        <v>3.8</v>
      </c>
      <c r="AF7" s="45">
        <v>3.8</v>
      </c>
      <c r="AG7" s="45"/>
    </row>
    <row r="8" spans="1:33" ht="23.25">
      <c r="A8" s="8" t="s">
        <v>2</v>
      </c>
      <c r="B8" s="45">
        <v>15.1</v>
      </c>
      <c r="C8" s="45">
        <v>15.1</v>
      </c>
      <c r="D8" s="45">
        <v>16.9</v>
      </c>
      <c r="E8" s="45">
        <v>16.9</v>
      </c>
      <c r="F8" s="45">
        <v>15.7</v>
      </c>
      <c r="G8" s="45">
        <v>18.2</v>
      </c>
      <c r="H8" s="45">
        <v>16.5</v>
      </c>
      <c r="I8" s="45">
        <v>19.9</v>
      </c>
      <c r="J8" s="45">
        <v>14.1</v>
      </c>
      <c r="K8" s="45">
        <v>17.1</v>
      </c>
      <c r="L8" s="45">
        <v>19.3</v>
      </c>
      <c r="M8" s="45">
        <v>16.2</v>
      </c>
      <c r="N8" s="45">
        <v>15.9</v>
      </c>
      <c r="O8" s="45">
        <v>16.6</v>
      </c>
      <c r="P8" s="45">
        <v>19</v>
      </c>
      <c r="Q8" s="45">
        <v>16.4</v>
      </c>
      <c r="R8" s="45">
        <v>19.4</v>
      </c>
      <c r="S8" s="45">
        <v>14.4</v>
      </c>
      <c r="T8" s="45">
        <v>15.8</v>
      </c>
      <c r="U8" s="45">
        <v>16.6</v>
      </c>
      <c r="V8" s="45">
        <v>12.6</v>
      </c>
      <c r="W8" s="45">
        <v>13.4</v>
      </c>
      <c r="X8" s="45">
        <v>14.8</v>
      </c>
      <c r="Y8" s="45">
        <v>13.9</v>
      </c>
      <c r="Z8" s="45">
        <v>14.6</v>
      </c>
      <c r="AA8" s="45">
        <v>13.5</v>
      </c>
      <c r="AB8" s="45">
        <v>14.9</v>
      </c>
      <c r="AC8" s="45">
        <v>15.3</v>
      </c>
      <c r="AD8" s="45">
        <v>13.2</v>
      </c>
      <c r="AE8" s="45">
        <v>12.4</v>
      </c>
      <c r="AF8" s="45">
        <v>12.3</v>
      </c>
      <c r="AG8" s="45"/>
    </row>
    <row r="9" spans="1:33" ht="23.25">
      <c r="A9" s="8"/>
      <c r="B9" s="77">
        <f aca="true" t="shared" si="0" ref="B9:AE9">SUM(B7:B8)</f>
        <v>16.3</v>
      </c>
      <c r="C9" s="77">
        <f t="shared" si="0"/>
        <v>16.7</v>
      </c>
      <c r="D9" s="77">
        <f t="shared" si="0"/>
        <v>18.099999999999998</v>
      </c>
      <c r="E9" s="77">
        <f t="shared" si="0"/>
        <v>16.9</v>
      </c>
      <c r="F9" s="77">
        <f t="shared" si="0"/>
        <v>15.7</v>
      </c>
      <c r="G9" s="77">
        <f t="shared" si="0"/>
        <v>18.2</v>
      </c>
      <c r="H9" s="77">
        <f t="shared" si="0"/>
        <v>16.5</v>
      </c>
      <c r="I9" s="77">
        <f t="shared" si="0"/>
        <v>19.9</v>
      </c>
      <c r="J9" s="77">
        <f t="shared" si="0"/>
        <v>14.4</v>
      </c>
      <c r="K9" s="77">
        <f t="shared" si="0"/>
        <v>17.200000000000003</v>
      </c>
      <c r="L9" s="77">
        <f t="shared" si="0"/>
        <v>19.3</v>
      </c>
      <c r="M9" s="77">
        <f t="shared" si="0"/>
        <v>16.2</v>
      </c>
      <c r="N9" s="77">
        <f t="shared" si="0"/>
        <v>15.9</v>
      </c>
      <c r="O9" s="77">
        <f t="shared" si="0"/>
        <v>16.6</v>
      </c>
      <c r="P9" s="77">
        <f t="shared" si="0"/>
        <v>19</v>
      </c>
      <c r="Q9" s="77">
        <f t="shared" si="0"/>
        <v>17.799999999999997</v>
      </c>
      <c r="R9" s="77">
        <f t="shared" si="0"/>
        <v>21.2</v>
      </c>
      <c r="S9" s="77">
        <f t="shared" si="0"/>
        <v>19.2</v>
      </c>
      <c r="T9" s="77">
        <f t="shared" si="0"/>
        <v>20</v>
      </c>
      <c r="U9" s="77">
        <f t="shared" si="0"/>
        <v>18</v>
      </c>
      <c r="V9" s="77">
        <f t="shared" si="0"/>
        <v>16.5</v>
      </c>
      <c r="W9" s="77">
        <f t="shared" si="0"/>
        <v>17.7</v>
      </c>
      <c r="X9" s="77">
        <f t="shared" si="0"/>
        <v>16.900000000000002</v>
      </c>
      <c r="Y9" s="77">
        <f t="shared" si="0"/>
        <v>16.5</v>
      </c>
      <c r="Z9" s="77">
        <f t="shared" si="0"/>
        <v>17.7</v>
      </c>
      <c r="AA9" s="77">
        <f t="shared" si="0"/>
        <v>16.5</v>
      </c>
      <c r="AB9" s="77">
        <f t="shared" si="0"/>
        <v>15</v>
      </c>
      <c r="AC9" s="77">
        <f t="shared" si="0"/>
        <v>17.6</v>
      </c>
      <c r="AD9" s="77">
        <f t="shared" si="0"/>
        <v>16.5</v>
      </c>
      <c r="AE9" s="77">
        <f t="shared" si="0"/>
        <v>16.2</v>
      </c>
      <c r="AF9" s="77">
        <f>SUM(AF7:AF8)</f>
        <v>16.1</v>
      </c>
      <c r="AG9" s="40">
        <f>AVERAGE(C9:AF9)</f>
        <v>17.333333333333332</v>
      </c>
    </row>
    <row r="10" spans="1:33" ht="23.25">
      <c r="A10" s="9" t="s">
        <v>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45"/>
    </row>
    <row r="11" spans="1:33" ht="23.25">
      <c r="A11" s="8" t="s">
        <v>19</v>
      </c>
      <c r="B11" s="45">
        <f>15.253-0.509</f>
        <v>14.744</v>
      </c>
      <c r="C11" s="45">
        <f>15.748-0.499</f>
        <v>15.248999999999999</v>
      </c>
      <c r="D11" s="45">
        <f>15.746-0.531</f>
        <v>15.215</v>
      </c>
      <c r="E11" s="45">
        <f>15.712-0.51</f>
        <v>15.202</v>
      </c>
      <c r="F11" s="45">
        <f>16.245-0.521</f>
        <v>15.724</v>
      </c>
      <c r="G11" s="45">
        <f>14.088-0.299</f>
        <v>13.789</v>
      </c>
      <c r="H11" s="61">
        <f>16.567-0.196</f>
        <v>16.371</v>
      </c>
      <c r="I11" s="61">
        <f>16.159-0.2</f>
        <v>15.959</v>
      </c>
      <c r="J11" s="61">
        <f>15.003-0.201</f>
        <v>14.802</v>
      </c>
      <c r="K11" s="61">
        <f>16.108-0.139</f>
        <v>15.969000000000001</v>
      </c>
      <c r="L11" s="45">
        <f>15.753-0.151</f>
        <v>15.602</v>
      </c>
      <c r="M11" s="45">
        <f>16.258-0.193</f>
        <v>16.064999999999998</v>
      </c>
      <c r="N11" s="45">
        <f>16.183-0.44</f>
        <v>15.743</v>
      </c>
      <c r="O11" s="45">
        <f>16.059-0.448</f>
        <v>15.611</v>
      </c>
      <c r="P11" s="45">
        <f>15.101-0.44</f>
        <v>14.661000000000001</v>
      </c>
      <c r="Q11" s="45">
        <f>16.198-0.306</f>
        <v>15.892000000000001</v>
      </c>
      <c r="R11" s="45">
        <f>17.223-0.199</f>
        <v>17.023999999999997</v>
      </c>
      <c r="S11" s="45">
        <f>18.285-0.212</f>
        <v>18.073</v>
      </c>
      <c r="T11" s="45">
        <f>17.639-0.11</f>
        <v>17.529</v>
      </c>
      <c r="U11" s="45">
        <f>17.29-0.248</f>
        <v>17.041999999999998</v>
      </c>
      <c r="V11" s="45">
        <f>16.059-0</f>
        <v>16.059</v>
      </c>
      <c r="W11" s="45">
        <f>17.234-0.045</f>
        <v>17.189</v>
      </c>
      <c r="X11" s="45">
        <f>16.77-0.296</f>
        <v>16.474</v>
      </c>
      <c r="Y11" s="45">
        <v>15.566</v>
      </c>
      <c r="Z11" s="45">
        <f>16.456-0.142</f>
        <v>16.314</v>
      </c>
      <c r="AA11" s="45">
        <f aca="true" t="shared" si="1" ref="AA11:AF11">16.456-0.142</f>
        <v>16.314</v>
      </c>
      <c r="AB11" s="45">
        <f t="shared" si="1"/>
        <v>16.314</v>
      </c>
      <c r="AC11" s="45">
        <f t="shared" si="1"/>
        <v>16.314</v>
      </c>
      <c r="AD11" s="45">
        <f t="shared" si="1"/>
        <v>16.314</v>
      </c>
      <c r="AE11" s="45">
        <f t="shared" si="1"/>
        <v>16.314</v>
      </c>
      <c r="AF11" s="45">
        <f t="shared" si="1"/>
        <v>16.314</v>
      </c>
      <c r="AG11" s="45"/>
    </row>
    <row r="12" spans="1:33" ht="23.25">
      <c r="A12" s="7" t="s">
        <v>28</v>
      </c>
      <c r="B12" s="45">
        <v>-0.509</v>
      </c>
      <c r="C12" s="45">
        <v>-0.499</v>
      </c>
      <c r="D12" s="45">
        <v>-0.531</v>
      </c>
      <c r="E12" s="45">
        <v>-0.51</v>
      </c>
      <c r="F12" s="45">
        <v>-0.521</v>
      </c>
      <c r="G12" s="45">
        <v>-0.299</v>
      </c>
      <c r="H12" s="61">
        <v>-0.196</v>
      </c>
      <c r="I12" s="61">
        <v>-0.5</v>
      </c>
      <c r="J12" s="61">
        <v>-0.201</v>
      </c>
      <c r="K12" s="61">
        <v>-0.139</v>
      </c>
      <c r="L12" s="45">
        <v>-0.151</v>
      </c>
      <c r="M12" s="45">
        <v>-0.193</v>
      </c>
      <c r="N12" s="45">
        <v>-0.44</v>
      </c>
      <c r="O12" s="45">
        <v>-0.448</v>
      </c>
      <c r="P12" s="45">
        <v>-0.44</v>
      </c>
      <c r="Q12" s="45">
        <v>-0.306</v>
      </c>
      <c r="R12" s="45">
        <v>-0.199</v>
      </c>
      <c r="S12" s="45">
        <v>-2.12</v>
      </c>
      <c r="T12" s="45">
        <v>-0.11</v>
      </c>
      <c r="U12" s="45">
        <v>-0.248</v>
      </c>
      <c r="V12" s="45">
        <v>0</v>
      </c>
      <c r="W12" s="45">
        <v>-0.045</v>
      </c>
      <c r="X12" s="45">
        <v>-0.296</v>
      </c>
      <c r="Y12" s="45">
        <v>0</v>
      </c>
      <c r="Z12" s="45">
        <v>-0.142</v>
      </c>
      <c r="AA12" s="45">
        <v>-0.142</v>
      </c>
      <c r="AB12" s="45">
        <v>-0.142</v>
      </c>
      <c r="AC12" s="45">
        <v>-0.142</v>
      </c>
      <c r="AD12" s="45">
        <v>-0.142</v>
      </c>
      <c r="AE12" s="45">
        <v>-0.142</v>
      </c>
      <c r="AF12" s="45">
        <v>-0.142</v>
      </c>
      <c r="AG12" s="45"/>
    </row>
    <row r="13" spans="1:33" ht="23.25">
      <c r="A13" s="8" t="s">
        <v>5</v>
      </c>
      <c r="B13" s="45">
        <v>2.917</v>
      </c>
      <c r="C13" s="45">
        <v>2.935</v>
      </c>
      <c r="D13" s="45">
        <v>2.904</v>
      </c>
      <c r="E13" s="45">
        <v>2.867</v>
      </c>
      <c r="F13" s="45">
        <v>2.886</v>
      </c>
      <c r="G13" s="45">
        <v>2.977</v>
      </c>
      <c r="H13" s="61">
        <v>2.82</v>
      </c>
      <c r="I13" s="61">
        <v>3.05</v>
      </c>
      <c r="J13" s="61">
        <v>2.875</v>
      </c>
      <c r="K13" s="61">
        <v>3.104</v>
      </c>
      <c r="L13" s="45">
        <v>2.8</v>
      </c>
      <c r="M13" s="45">
        <v>2.734</v>
      </c>
      <c r="N13" s="45">
        <v>3.291</v>
      </c>
      <c r="O13" s="45">
        <v>2.965</v>
      </c>
      <c r="P13" s="45">
        <v>2.911</v>
      </c>
      <c r="Q13" s="45">
        <v>2.92</v>
      </c>
      <c r="R13" s="45">
        <v>2.905</v>
      </c>
      <c r="S13" s="45">
        <v>2.803</v>
      </c>
      <c r="T13" s="45">
        <v>2.861</v>
      </c>
      <c r="U13" s="45">
        <v>2.893</v>
      </c>
      <c r="V13" s="45">
        <v>2.938</v>
      </c>
      <c r="W13" s="45">
        <v>2.449</v>
      </c>
      <c r="X13" s="45">
        <v>3.111</v>
      </c>
      <c r="Y13" s="45">
        <v>2.898</v>
      </c>
      <c r="Z13" s="45">
        <v>2.909</v>
      </c>
      <c r="AA13" s="45">
        <v>2.909</v>
      </c>
      <c r="AB13" s="45">
        <v>2.909</v>
      </c>
      <c r="AC13" s="45">
        <v>2.909</v>
      </c>
      <c r="AD13" s="45">
        <v>2.909</v>
      </c>
      <c r="AE13" s="45">
        <v>2.909</v>
      </c>
      <c r="AF13" s="45">
        <v>2.909</v>
      </c>
      <c r="AG13" s="45"/>
    </row>
    <row r="14" spans="1:33" ht="23.25">
      <c r="A14" s="8" t="s">
        <v>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45"/>
    </row>
    <row r="15" spans="1:33" ht="23.25">
      <c r="A15" s="8" t="s">
        <v>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45"/>
    </row>
    <row r="16" spans="1:33" ht="23.25">
      <c r="A16" s="8"/>
      <c r="B16" s="77">
        <f aca="true" t="shared" si="2" ref="B16:AE16">SUM(B11:B15)</f>
        <v>17.152</v>
      </c>
      <c r="C16" s="77">
        <f t="shared" si="2"/>
        <v>17.685</v>
      </c>
      <c r="D16" s="77">
        <f t="shared" si="2"/>
        <v>17.588</v>
      </c>
      <c r="E16" s="77">
        <f t="shared" si="2"/>
        <v>17.559</v>
      </c>
      <c r="F16" s="77">
        <f t="shared" si="2"/>
        <v>18.089</v>
      </c>
      <c r="G16" s="77">
        <f t="shared" si="2"/>
        <v>16.467</v>
      </c>
      <c r="H16" s="77">
        <f t="shared" si="2"/>
        <v>18.994999999999997</v>
      </c>
      <c r="I16" s="77">
        <f t="shared" si="2"/>
        <v>18.509</v>
      </c>
      <c r="J16" s="77">
        <f t="shared" si="2"/>
        <v>17.476</v>
      </c>
      <c r="K16" s="77">
        <f t="shared" si="2"/>
        <v>18.934</v>
      </c>
      <c r="L16" s="77">
        <f t="shared" si="2"/>
        <v>18.251</v>
      </c>
      <c r="M16" s="77">
        <f t="shared" si="2"/>
        <v>18.605999999999998</v>
      </c>
      <c r="N16" s="77">
        <f t="shared" si="2"/>
        <v>18.594</v>
      </c>
      <c r="O16" s="77">
        <f t="shared" si="2"/>
        <v>18.128</v>
      </c>
      <c r="P16" s="77">
        <f t="shared" si="2"/>
        <v>17.132</v>
      </c>
      <c r="Q16" s="77">
        <f t="shared" si="2"/>
        <v>18.506</v>
      </c>
      <c r="R16" s="77">
        <f t="shared" si="2"/>
        <v>19.729999999999997</v>
      </c>
      <c r="S16" s="77">
        <f t="shared" si="2"/>
        <v>18.756</v>
      </c>
      <c r="T16" s="77">
        <f t="shared" si="2"/>
        <v>20.28</v>
      </c>
      <c r="U16" s="77">
        <f t="shared" si="2"/>
        <v>19.686999999999998</v>
      </c>
      <c r="V16" s="77">
        <f t="shared" si="2"/>
        <v>18.997</v>
      </c>
      <c r="W16" s="77">
        <f t="shared" si="2"/>
        <v>19.592999999999996</v>
      </c>
      <c r="X16" s="77">
        <f t="shared" si="2"/>
        <v>19.289</v>
      </c>
      <c r="Y16" s="77">
        <f t="shared" si="2"/>
        <v>18.464000000000002</v>
      </c>
      <c r="Z16" s="77">
        <f t="shared" si="2"/>
        <v>19.081</v>
      </c>
      <c r="AA16" s="77">
        <f t="shared" si="2"/>
        <v>19.081</v>
      </c>
      <c r="AB16" s="77">
        <f t="shared" si="2"/>
        <v>19.081</v>
      </c>
      <c r="AC16" s="77">
        <f t="shared" si="2"/>
        <v>19.081</v>
      </c>
      <c r="AD16" s="77">
        <f t="shared" si="2"/>
        <v>19.081</v>
      </c>
      <c r="AE16" s="77">
        <f t="shared" si="2"/>
        <v>19.081</v>
      </c>
      <c r="AF16" s="77">
        <f>SUM(AF11:AF15)</f>
        <v>19.081</v>
      </c>
      <c r="AG16" s="40">
        <f>AVERAGE(C16:AF16)</f>
        <v>18.6294</v>
      </c>
    </row>
    <row r="17" spans="1:33" ht="23.25">
      <c r="A17" s="16" t="s">
        <v>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45"/>
    </row>
    <row r="18" spans="1:33" ht="23.25">
      <c r="A18" s="14" t="s">
        <v>9</v>
      </c>
      <c r="B18" s="113">
        <v>17.23</v>
      </c>
      <c r="C18" s="113">
        <v>16.38</v>
      </c>
      <c r="D18" s="113">
        <v>15.41</v>
      </c>
      <c r="E18" s="113">
        <v>17.47</v>
      </c>
      <c r="F18" s="113">
        <v>15.71</v>
      </c>
      <c r="G18" s="113">
        <v>16.67</v>
      </c>
      <c r="H18" s="113">
        <v>15.45</v>
      </c>
      <c r="I18" s="113">
        <v>16.05</v>
      </c>
      <c r="J18" s="113">
        <v>17.59</v>
      </c>
      <c r="K18" s="113">
        <v>18.56</v>
      </c>
      <c r="L18" s="113">
        <v>16.86</v>
      </c>
      <c r="M18" s="113">
        <v>18.37</v>
      </c>
      <c r="N18" s="113">
        <v>17.81</v>
      </c>
      <c r="O18" s="113">
        <v>19.37</v>
      </c>
      <c r="P18" s="113">
        <v>20.06</v>
      </c>
      <c r="Q18" s="113">
        <v>18.57</v>
      </c>
      <c r="R18" s="113">
        <v>19.51</v>
      </c>
      <c r="S18" s="113">
        <v>20.51</v>
      </c>
      <c r="T18" s="113">
        <v>19.8</v>
      </c>
      <c r="U18" s="113">
        <v>18.82</v>
      </c>
      <c r="V18" s="113">
        <v>19.1</v>
      </c>
      <c r="W18" s="113">
        <v>19.91</v>
      </c>
      <c r="X18" s="113">
        <v>17.18</v>
      </c>
      <c r="Y18" s="113">
        <v>17.67</v>
      </c>
      <c r="Z18" s="113">
        <v>18.48</v>
      </c>
      <c r="AA18" s="113">
        <v>16.46</v>
      </c>
      <c r="AB18" s="113">
        <v>16.73</v>
      </c>
      <c r="AC18" s="113">
        <v>16.51</v>
      </c>
      <c r="AD18" s="113">
        <v>16.34</v>
      </c>
      <c r="AE18" s="113">
        <v>17.61</v>
      </c>
      <c r="AF18" s="113">
        <v>17.45</v>
      </c>
      <c r="AG18" s="45"/>
    </row>
    <row r="19" spans="1:33" ht="23.25">
      <c r="A19" s="18" t="s">
        <v>28</v>
      </c>
      <c r="B19" s="112">
        <v>-0.35</v>
      </c>
      <c r="C19" s="112">
        <v>-0.35</v>
      </c>
      <c r="D19" s="112">
        <v>-0.35</v>
      </c>
      <c r="E19" s="112">
        <v>-0.36</v>
      </c>
      <c r="F19" s="112">
        <v>-0.35</v>
      </c>
      <c r="G19" s="112">
        <v>-0.35</v>
      </c>
      <c r="H19" s="112">
        <v>-0.34</v>
      </c>
      <c r="I19" s="112">
        <v>-0.35</v>
      </c>
      <c r="J19" s="112">
        <v>-0.35</v>
      </c>
      <c r="K19" s="112">
        <v>-0.36</v>
      </c>
      <c r="L19" s="112">
        <v>-0.34</v>
      </c>
      <c r="M19" s="112">
        <v>-0.36</v>
      </c>
      <c r="N19" s="112">
        <v>-0.33</v>
      </c>
      <c r="O19" s="112">
        <v>-0.15</v>
      </c>
      <c r="P19" s="112">
        <v>-0.35</v>
      </c>
      <c r="Q19" s="112">
        <v>-0.35</v>
      </c>
      <c r="R19" s="112">
        <v>-0.36</v>
      </c>
      <c r="S19" s="112">
        <v>-0.36</v>
      </c>
      <c r="T19" s="112">
        <v>-0.22</v>
      </c>
      <c r="U19" s="112">
        <v>-0.19</v>
      </c>
      <c r="V19" s="112">
        <v>-0.1</v>
      </c>
      <c r="W19" s="112">
        <v>-0.33</v>
      </c>
      <c r="X19" s="112">
        <v>-0.34</v>
      </c>
      <c r="Y19" s="112">
        <v>-0.36</v>
      </c>
      <c r="Z19" s="112">
        <v>-0.35</v>
      </c>
      <c r="AA19" s="112">
        <v>-0.35</v>
      </c>
      <c r="AB19" s="112">
        <v>-0.36</v>
      </c>
      <c r="AC19" s="112">
        <v>-0.2</v>
      </c>
      <c r="AD19" s="112">
        <v>-0.35</v>
      </c>
      <c r="AE19" s="112">
        <v>-0.36</v>
      </c>
      <c r="AF19" s="112">
        <v>-0.35</v>
      </c>
      <c r="AG19" s="45"/>
    </row>
    <row r="20" spans="1:33" ht="23.25">
      <c r="A20" s="14" t="s">
        <v>10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45"/>
    </row>
    <row r="21" spans="1:33" ht="23.25">
      <c r="A21" s="14" t="s">
        <v>25</v>
      </c>
      <c r="B21" s="131">
        <v>42</v>
      </c>
      <c r="C21" s="131">
        <v>34</v>
      </c>
      <c r="D21" s="131">
        <v>37</v>
      </c>
      <c r="E21" s="131">
        <v>35</v>
      </c>
      <c r="F21" s="131">
        <v>42</v>
      </c>
      <c r="G21" s="131">
        <v>43</v>
      </c>
      <c r="H21" s="131">
        <v>50</v>
      </c>
      <c r="I21" s="131">
        <v>47</v>
      </c>
      <c r="J21" s="131">
        <v>50</v>
      </c>
      <c r="K21" s="131">
        <v>41</v>
      </c>
      <c r="L21" s="131">
        <v>58</v>
      </c>
      <c r="M21" s="131">
        <v>45</v>
      </c>
      <c r="N21" s="131">
        <v>44</v>
      </c>
      <c r="O21" s="131">
        <v>31</v>
      </c>
      <c r="P21" s="131">
        <v>44</v>
      </c>
      <c r="Q21" s="131">
        <v>38</v>
      </c>
      <c r="R21" s="131">
        <v>59</v>
      </c>
      <c r="S21" s="131">
        <v>49</v>
      </c>
      <c r="T21" s="131">
        <v>44</v>
      </c>
      <c r="U21" s="131">
        <v>44</v>
      </c>
      <c r="V21" s="131">
        <v>50</v>
      </c>
      <c r="W21" s="131">
        <v>44</v>
      </c>
      <c r="X21" s="131">
        <v>47</v>
      </c>
      <c r="Y21" s="131">
        <v>33</v>
      </c>
      <c r="Z21" s="131">
        <v>36</v>
      </c>
      <c r="AA21" s="131">
        <v>40</v>
      </c>
      <c r="AB21" s="131">
        <v>37</v>
      </c>
      <c r="AC21" s="131">
        <v>43</v>
      </c>
      <c r="AD21" s="131">
        <v>35</v>
      </c>
      <c r="AE21" s="131">
        <v>42</v>
      </c>
      <c r="AF21" s="131">
        <v>43</v>
      </c>
      <c r="AG21" s="149"/>
    </row>
    <row r="22" spans="1:33" ht="23.25">
      <c r="A22" s="14" t="s">
        <v>24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45"/>
    </row>
    <row r="23" spans="1:33" ht="23.25">
      <c r="A23" s="14" t="s">
        <v>26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45"/>
    </row>
    <row r="24" spans="1:33" ht="23.25">
      <c r="A24" s="14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45"/>
    </row>
    <row r="25" spans="1:33" ht="23.25">
      <c r="A25" s="14" t="s">
        <v>18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45"/>
    </row>
    <row r="26" spans="1:33" ht="23.25">
      <c r="A26" s="14" t="s">
        <v>5</v>
      </c>
      <c r="B26" s="113">
        <v>0.3</v>
      </c>
      <c r="C26" s="113">
        <v>0.3</v>
      </c>
      <c r="D26" s="113">
        <v>0.3</v>
      </c>
      <c r="E26" s="113">
        <v>0.3</v>
      </c>
      <c r="F26" s="113">
        <v>0.3</v>
      </c>
      <c r="G26" s="113">
        <v>0.3</v>
      </c>
      <c r="H26" s="113">
        <v>0.3</v>
      </c>
      <c r="I26" s="113">
        <v>0.8</v>
      </c>
      <c r="J26" s="113">
        <v>0.8</v>
      </c>
      <c r="K26" s="113">
        <v>0.8</v>
      </c>
      <c r="L26" s="113">
        <v>0.8</v>
      </c>
      <c r="M26" s="113">
        <v>0.8</v>
      </c>
      <c r="N26" s="113">
        <v>0.8</v>
      </c>
      <c r="O26" s="113">
        <v>0.4</v>
      </c>
      <c r="P26" s="113">
        <v>0.4</v>
      </c>
      <c r="Q26" s="113">
        <v>0.4</v>
      </c>
      <c r="R26" s="113">
        <v>0.4</v>
      </c>
      <c r="S26" s="113">
        <v>0.4</v>
      </c>
      <c r="T26" s="113">
        <v>0.4</v>
      </c>
      <c r="U26" s="113">
        <v>0.3</v>
      </c>
      <c r="V26" s="113">
        <v>0.3</v>
      </c>
      <c r="W26" s="113">
        <v>0.3</v>
      </c>
      <c r="X26" s="113">
        <v>0.3</v>
      </c>
      <c r="Y26" s="113">
        <v>0.3</v>
      </c>
      <c r="Z26" s="113">
        <v>0.3</v>
      </c>
      <c r="AA26" s="113">
        <v>0.3</v>
      </c>
      <c r="AB26" s="113">
        <v>0.3</v>
      </c>
      <c r="AC26" s="113">
        <v>0.3</v>
      </c>
      <c r="AD26" s="113">
        <v>0.3</v>
      </c>
      <c r="AE26" s="113">
        <v>0.3</v>
      </c>
      <c r="AF26" s="113">
        <v>0.3</v>
      </c>
      <c r="AG26" s="45"/>
    </row>
    <row r="27" spans="1:33" ht="23.25">
      <c r="A27" s="14" t="s">
        <v>11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45"/>
    </row>
    <row r="28" spans="1:33" ht="23.25">
      <c r="A28" s="14" t="s">
        <v>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45"/>
    </row>
    <row r="29" spans="1:33" ht="23.25">
      <c r="A29" s="8"/>
      <c r="B29" s="77">
        <f>SUM(B18+B19+B20+B25+B26+B27+B28)</f>
        <v>17.18</v>
      </c>
      <c r="C29" s="77">
        <f aca="true" t="shared" si="3" ref="C29:AE29">SUM(C18+C19+C20+C25+C26+C27+C28)</f>
        <v>16.33</v>
      </c>
      <c r="D29" s="77">
        <f t="shared" si="3"/>
        <v>15.360000000000001</v>
      </c>
      <c r="E29" s="77">
        <f t="shared" si="3"/>
        <v>17.41</v>
      </c>
      <c r="F29" s="77">
        <f t="shared" si="3"/>
        <v>15.660000000000002</v>
      </c>
      <c r="G29" s="77">
        <f t="shared" si="3"/>
        <v>16.62</v>
      </c>
      <c r="H29" s="77">
        <f t="shared" si="3"/>
        <v>15.41</v>
      </c>
      <c r="I29" s="77">
        <f t="shared" si="3"/>
        <v>16.5</v>
      </c>
      <c r="J29" s="77">
        <f t="shared" si="3"/>
        <v>18.04</v>
      </c>
      <c r="K29" s="77">
        <f t="shared" si="3"/>
        <v>19</v>
      </c>
      <c r="L29" s="77">
        <f t="shared" si="3"/>
        <v>17.32</v>
      </c>
      <c r="M29" s="77">
        <f t="shared" si="3"/>
        <v>18.810000000000002</v>
      </c>
      <c r="N29" s="77">
        <f t="shared" si="3"/>
        <v>18.28</v>
      </c>
      <c r="O29" s="77">
        <f t="shared" si="3"/>
        <v>19.62</v>
      </c>
      <c r="P29" s="77">
        <f t="shared" si="3"/>
        <v>20.109999999999996</v>
      </c>
      <c r="Q29" s="77">
        <f t="shared" si="3"/>
        <v>18.619999999999997</v>
      </c>
      <c r="R29" s="77">
        <f t="shared" si="3"/>
        <v>19.55</v>
      </c>
      <c r="S29" s="77">
        <f t="shared" si="3"/>
        <v>20.55</v>
      </c>
      <c r="T29" s="77">
        <f t="shared" si="3"/>
        <v>19.98</v>
      </c>
      <c r="U29" s="77">
        <f t="shared" si="3"/>
        <v>18.93</v>
      </c>
      <c r="V29" s="77">
        <f t="shared" si="3"/>
        <v>19.3</v>
      </c>
      <c r="W29" s="77">
        <f t="shared" si="3"/>
        <v>19.880000000000003</v>
      </c>
      <c r="X29" s="77">
        <f t="shared" si="3"/>
        <v>17.14</v>
      </c>
      <c r="Y29" s="77">
        <f t="shared" si="3"/>
        <v>17.610000000000003</v>
      </c>
      <c r="Z29" s="77">
        <f t="shared" si="3"/>
        <v>18.43</v>
      </c>
      <c r="AA29" s="77">
        <f t="shared" si="3"/>
        <v>16.41</v>
      </c>
      <c r="AB29" s="77">
        <f t="shared" si="3"/>
        <v>16.67</v>
      </c>
      <c r="AC29" s="77">
        <f t="shared" si="3"/>
        <v>16.610000000000003</v>
      </c>
      <c r="AD29" s="77">
        <f t="shared" si="3"/>
        <v>16.29</v>
      </c>
      <c r="AE29" s="77">
        <f t="shared" si="3"/>
        <v>17.55</v>
      </c>
      <c r="AF29" s="77">
        <f>SUM(AF18+AF19+AF20+AF25+AF26+AF27+AF28)</f>
        <v>17.4</v>
      </c>
      <c r="AG29" s="40">
        <f>AVERAGE(C29:AF29)</f>
        <v>17.846333333333337</v>
      </c>
    </row>
    <row r="30" spans="1:33" ht="23.25">
      <c r="A30" s="9" t="s">
        <v>12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45"/>
    </row>
    <row r="31" spans="1:33" ht="23.25">
      <c r="A31" s="8" t="s">
        <v>13</v>
      </c>
      <c r="B31" s="45">
        <v>0</v>
      </c>
      <c r="C31" s="45">
        <v>0</v>
      </c>
      <c r="D31" s="45">
        <v>0</v>
      </c>
      <c r="E31" s="45">
        <v>0</v>
      </c>
      <c r="F31" s="45">
        <v>0</v>
      </c>
      <c r="G31" s="45">
        <v>0</v>
      </c>
      <c r="H31" s="45">
        <v>1.9</v>
      </c>
      <c r="I31" s="45">
        <v>1.9</v>
      </c>
      <c r="J31" s="45">
        <v>1.8</v>
      </c>
      <c r="K31" s="45">
        <v>2.2</v>
      </c>
      <c r="L31" s="45">
        <v>2.3</v>
      </c>
      <c r="M31" s="45">
        <v>0</v>
      </c>
      <c r="N31" s="45">
        <v>0</v>
      </c>
      <c r="O31" s="45">
        <v>0</v>
      </c>
      <c r="P31" s="45">
        <v>0</v>
      </c>
      <c r="Q31" s="45">
        <v>2.2</v>
      </c>
      <c r="R31" s="45">
        <v>2.5</v>
      </c>
      <c r="S31" s="45">
        <v>2.5</v>
      </c>
      <c r="T31" s="45">
        <v>2.5</v>
      </c>
      <c r="U31" s="45">
        <v>3.1</v>
      </c>
      <c r="V31" s="45">
        <v>2.5</v>
      </c>
      <c r="W31" s="45">
        <v>2.4</v>
      </c>
      <c r="X31" s="45">
        <v>0</v>
      </c>
      <c r="Y31" s="45">
        <v>0</v>
      </c>
      <c r="Z31" s="45">
        <v>1.9</v>
      </c>
      <c r="AA31" s="45">
        <v>1.9</v>
      </c>
      <c r="AB31" s="45">
        <v>2.2</v>
      </c>
      <c r="AC31" s="45">
        <v>1.3</v>
      </c>
      <c r="AD31" s="45">
        <v>2.1</v>
      </c>
      <c r="AE31" s="45">
        <v>2.1</v>
      </c>
      <c r="AF31" s="45">
        <v>1.6</v>
      </c>
      <c r="AG31" s="45"/>
    </row>
    <row r="32" spans="1:33" ht="23.25">
      <c r="A32" s="8" t="s">
        <v>31</v>
      </c>
      <c r="B32" s="45">
        <v>2</v>
      </c>
      <c r="C32" s="45">
        <v>1.7</v>
      </c>
      <c r="D32" s="45">
        <v>2</v>
      </c>
      <c r="E32" s="45">
        <v>1.8</v>
      </c>
      <c r="F32" s="45">
        <v>1.9</v>
      </c>
      <c r="G32" s="45">
        <v>2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2.3</v>
      </c>
      <c r="N32" s="45">
        <v>1.8</v>
      </c>
      <c r="O32" s="45">
        <v>1.9</v>
      </c>
      <c r="P32" s="45">
        <v>2.2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2.2</v>
      </c>
      <c r="Y32" s="45">
        <v>1.8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f>SUM(B32:AF32)</f>
        <v>23.599999999999998</v>
      </c>
    </row>
    <row r="33" spans="1:33" ht="23.25">
      <c r="A33" s="8" t="s">
        <v>4</v>
      </c>
      <c r="B33" s="45">
        <v>1.4</v>
      </c>
      <c r="C33" s="45">
        <v>1.4</v>
      </c>
      <c r="D33" s="45">
        <v>1.4</v>
      </c>
      <c r="E33" s="45">
        <v>1.4</v>
      </c>
      <c r="F33" s="45">
        <v>1.4</v>
      </c>
      <c r="G33" s="45">
        <v>1.4</v>
      </c>
      <c r="H33" s="45">
        <v>1.4</v>
      </c>
      <c r="I33" s="45">
        <v>1.4</v>
      </c>
      <c r="J33" s="45">
        <v>1.4</v>
      </c>
      <c r="K33" s="45">
        <v>1.2</v>
      </c>
      <c r="L33" s="45">
        <v>1.4</v>
      </c>
      <c r="M33" s="45">
        <v>1.4</v>
      </c>
      <c r="N33" s="45">
        <v>1.4</v>
      </c>
      <c r="O33" s="45">
        <v>1.4</v>
      </c>
      <c r="P33" s="45">
        <v>1.4</v>
      </c>
      <c r="Q33" s="45">
        <v>1.4</v>
      </c>
      <c r="R33" s="45">
        <v>1.4</v>
      </c>
      <c r="S33" s="45">
        <v>1.4</v>
      </c>
      <c r="T33" s="45">
        <v>1.4</v>
      </c>
      <c r="U33" s="45">
        <v>1.4</v>
      </c>
      <c r="V33" s="45">
        <v>1.4</v>
      </c>
      <c r="W33" s="45">
        <v>1.4</v>
      </c>
      <c r="X33" s="45">
        <v>1.4</v>
      </c>
      <c r="Y33" s="45">
        <v>1.4</v>
      </c>
      <c r="Z33" s="45">
        <v>1.4</v>
      </c>
      <c r="AA33" s="45">
        <v>1.4</v>
      </c>
      <c r="AB33" s="45">
        <v>1.4</v>
      </c>
      <c r="AC33" s="45">
        <v>1.4</v>
      </c>
      <c r="AD33" s="45">
        <v>1.4</v>
      </c>
      <c r="AE33" s="45">
        <v>1.4</v>
      </c>
      <c r="AF33" s="45">
        <v>1.4</v>
      </c>
      <c r="AG33" s="45"/>
    </row>
    <row r="34" spans="1:33" ht="23.25">
      <c r="A34" s="8" t="s">
        <v>14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/>
    </row>
    <row r="35" spans="1:33" ht="23.25">
      <c r="A35" s="8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/>
    </row>
    <row r="36" spans="1:33" ht="23.25">
      <c r="A36" s="9"/>
      <c r="B36" s="77">
        <f aca="true" t="shared" si="4" ref="B36:AE36">SUM(B31:B35)</f>
        <v>3.4</v>
      </c>
      <c r="C36" s="77">
        <f t="shared" si="4"/>
        <v>3.0999999999999996</v>
      </c>
      <c r="D36" s="77">
        <f t="shared" si="4"/>
        <v>3.4</v>
      </c>
      <c r="E36" s="77">
        <f t="shared" si="4"/>
        <v>3.2</v>
      </c>
      <c r="F36" s="77">
        <f t="shared" si="4"/>
        <v>3.3</v>
      </c>
      <c r="G36" s="77">
        <f t="shared" si="4"/>
        <v>3.4</v>
      </c>
      <c r="H36" s="77">
        <f t="shared" si="4"/>
        <v>3.3</v>
      </c>
      <c r="I36" s="77">
        <f t="shared" si="4"/>
        <v>3.3</v>
      </c>
      <c r="J36" s="77">
        <f t="shared" si="4"/>
        <v>3.2</v>
      </c>
      <c r="K36" s="77">
        <f t="shared" si="4"/>
        <v>3.4000000000000004</v>
      </c>
      <c r="L36" s="77">
        <f t="shared" si="4"/>
        <v>3.6999999999999997</v>
      </c>
      <c r="M36" s="77">
        <f t="shared" si="4"/>
        <v>3.6999999999999997</v>
      </c>
      <c r="N36" s="77">
        <f t="shared" si="4"/>
        <v>3.2</v>
      </c>
      <c r="O36" s="77">
        <f t="shared" si="4"/>
        <v>3.3</v>
      </c>
      <c r="P36" s="77">
        <f t="shared" si="4"/>
        <v>3.6</v>
      </c>
      <c r="Q36" s="77">
        <f t="shared" si="4"/>
        <v>3.6</v>
      </c>
      <c r="R36" s="77">
        <f t="shared" si="4"/>
        <v>3.9</v>
      </c>
      <c r="S36" s="77">
        <f t="shared" si="4"/>
        <v>3.9</v>
      </c>
      <c r="T36" s="77">
        <f t="shared" si="4"/>
        <v>3.9</v>
      </c>
      <c r="U36" s="77">
        <f t="shared" si="4"/>
        <v>4.5</v>
      </c>
      <c r="V36" s="77">
        <f t="shared" si="4"/>
        <v>3.9</v>
      </c>
      <c r="W36" s="77">
        <f t="shared" si="4"/>
        <v>3.8</v>
      </c>
      <c r="X36" s="77">
        <f t="shared" si="4"/>
        <v>3.6</v>
      </c>
      <c r="Y36" s="77">
        <f t="shared" si="4"/>
        <v>3.2</v>
      </c>
      <c r="Z36" s="77">
        <f t="shared" si="4"/>
        <v>3.3</v>
      </c>
      <c r="AA36" s="77">
        <f t="shared" si="4"/>
        <v>3.3</v>
      </c>
      <c r="AB36" s="77">
        <f t="shared" si="4"/>
        <v>3.6</v>
      </c>
      <c r="AC36" s="77">
        <f t="shared" si="4"/>
        <v>2.7</v>
      </c>
      <c r="AD36" s="77">
        <f t="shared" si="4"/>
        <v>3.5</v>
      </c>
      <c r="AE36" s="77">
        <f t="shared" si="4"/>
        <v>3.5</v>
      </c>
      <c r="AF36" s="77">
        <f>SUM(AF31:AF35)</f>
        <v>3</v>
      </c>
      <c r="AG36" s="40">
        <f>AVERAGE(B36:AE36)</f>
        <v>3.49</v>
      </c>
    </row>
    <row r="37" spans="1:33" ht="23.25">
      <c r="A37" s="9" t="s">
        <v>15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40" t="s">
        <v>29</v>
      </c>
    </row>
    <row r="38" spans="1:33" ht="23.25">
      <c r="A38" s="8" t="s">
        <v>4</v>
      </c>
      <c r="B38" s="113">
        <v>0.457708625</v>
      </c>
      <c r="C38" s="113">
        <v>0.5316588125</v>
      </c>
      <c r="D38" s="113">
        <v>0.44761628125</v>
      </c>
      <c r="E38" s="113">
        <v>0.3499160625</v>
      </c>
      <c r="F38" s="113">
        <v>0.4193998125</v>
      </c>
      <c r="G38" s="113">
        <v>0.36750034375</v>
      </c>
      <c r="H38" s="113">
        <v>0.32221609375</v>
      </c>
      <c r="I38" s="113">
        <v>0.45542440625</v>
      </c>
      <c r="J38" s="113">
        <v>0.4855801875</v>
      </c>
      <c r="K38" s="113">
        <v>0.569032875</v>
      </c>
      <c r="L38" s="113">
        <v>0.479536625</v>
      </c>
      <c r="M38" s="113">
        <v>0.520804625</v>
      </c>
      <c r="N38" s="113">
        <v>0.3793873125</v>
      </c>
      <c r="O38" s="113">
        <v>0.36036196875</v>
      </c>
      <c r="P38" s="113">
        <v>0.47654265625</v>
      </c>
      <c r="Q38" s="113">
        <v>0.5405136875</v>
      </c>
      <c r="R38" s="113">
        <v>0.5495045625</v>
      </c>
      <c r="S38" s="113">
        <v>0.5553075</v>
      </c>
      <c r="T38" s="113">
        <v>0.557798</v>
      </c>
      <c r="U38" s="113">
        <v>0.4628306875</v>
      </c>
      <c r="V38" s="113">
        <v>0.3822235</v>
      </c>
      <c r="W38" s="113">
        <v>0.47409509375</v>
      </c>
      <c r="X38" s="113">
        <v>0.5294844375</v>
      </c>
      <c r="Y38" s="113">
        <v>0.52711</v>
      </c>
      <c r="Z38" s="113">
        <v>0.5305768125</v>
      </c>
      <c r="AA38" s="113">
        <v>0.32717421875</v>
      </c>
      <c r="AB38" s="113">
        <v>0.54773</v>
      </c>
      <c r="AC38" s="113">
        <v>0.76400575</v>
      </c>
      <c r="AD38" s="113">
        <v>0.6001251875</v>
      </c>
      <c r="AE38" s="113">
        <v>0.7291749375</v>
      </c>
      <c r="AF38" s="113">
        <v>0.55081525</v>
      </c>
      <c r="AG38" s="40">
        <f>AVERAGE(B38:AF38)</f>
        <v>0.4919727842741936</v>
      </c>
    </row>
    <row r="39" spans="1:33" ht="23.25">
      <c r="A39" s="8" t="s">
        <v>16</v>
      </c>
      <c r="B39" s="77">
        <f aca="true" t="shared" si="5" ref="B39:AE39">SUM(B38,B36,B29,B16,B9)</f>
        <v>54.489708625000006</v>
      </c>
      <c r="C39" s="77">
        <f t="shared" si="5"/>
        <v>54.346658812499996</v>
      </c>
      <c r="D39" s="77">
        <f t="shared" si="5"/>
        <v>54.89561628125</v>
      </c>
      <c r="E39" s="77">
        <f t="shared" si="5"/>
        <v>55.418916062499996</v>
      </c>
      <c r="F39" s="77">
        <f t="shared" si="5"/>
        <v>53.1683998125</v>
      </c>
      <c r="G39" s="77">
        <f t="shared" si="5"/>
        <v>55.05450034375001</v>
      </c>
      <c r="H39" s="77">
        <f t="shared" si="5"/>
        <v>54.52721609375</v>
      </c>
      <c r="I39" s="77">
        <f t="shared" si="5"/>
        <v>58.66442440625</v>
      </c>
      <c r="J39" s="77">
        <f t="shared" si="5"/>
        <v>53.6015801875</v>
      </c>
      <c r="K39" s="77">
        <f t="shared" si="5"/>
        <v>59.103032875000004</v>
      </c>
      <c r="L39" s="77">
        <f t="shared" si="5"/>
        <v>59.05053662500001</v>
      </c>
      <c r="M39" s="77">
        <f t="shared" si="5"/>
        <v>57.836804625</v>
      </c>
      <c r="N39" s="77">
        <f t="shared" si="5"/>
        <v>56.3533873125</v>
      </c>
      <c r="O39" s="77">
        <f t="shared" si="5"/>
        <v>58.00836196875</v>
      </c>
      <c r="P39" s="77">
        <f t="shared" si="5"/>
        <v>60.31854265625</v>
      </c>
      <c r="Q39" s="77">
        <f t="shared" si="5"/>
        <v>59.06651368749999</v>
      </c>
      <c r="R39" s="77">
        <f t="shared" si="5"/>
        <v>64.9295045625</v>
      </c>
      <c r="S39" s="77">
        <f t="shared" si="5"/>
        <v>62.961307500000004</v>
      </c>
      <c r="T39" s="77">
        <f t="shared" si="5"/>
        <v>64.717798</v>
      </c>
      <c r="U39" s="77">
        <f t="shared" si="5"/>
        <v>61.5798306875</v>
      </c>
      <c r="V39" s="77">
        <f t="shared" si="5"/>
        <v>59.0792235</v>
      </c>
      <c r="W39" s="77">
        <f t="shared" si="5"/>
        <v>61.447095093749994</v>
      </c>
      <c r="X39" s="77">
        <f t="shared" si="5"/>
        <v>57.458484437500005</v>
      </c>
      <c r="Y39" s="77">
        <f t="shared" si="5"/>
        <v>56.30111000000001</v>
      </c>
      <c r="Z39" s="77">
        <f t="shared" si="5"/>
        <v>59.0415768125</v>
      </c>
      <c r="AA39" s="77">
        <f t="shared" si="5"/>
        <v>55.61817421875</v>
      </c>
      <c r="AB39" s="77">
        <f t="shared" si="5"/>
        <v>54.89873</v>
      </c>
      <c r="AC39" s="77">
        <f t="shared" si="5"/>
        <v>56.75500575</v>
      </c>
      <c r="AD39" s="77">
        <f t="shared" si="5"/>
        <v>55.97112518749999</v>
      </c>
      <c r="AE39" s="77">
        <f t="shared" si="5"/>
        <v>57.06017493750001</v>
      </c>
      <c r="AF39" s="77">
        <f>SUM(AF38,AF36,AF29,AF16,AF9)</f>
        <v>56.131815249999995</v>
      </c>
      <c r="AG39" s="40"/>
    </row>
    <row r="40" spans="1:33" ht="23.25">
      <c r="A40" s="8" t="s">
        <v>17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45"/>
    </row>
    <row r="41" spans="1:33" ht="23.25">
      <c r="A41" s="9" t="s">
        <v>22</v>
      </c>
      <c r="B41" s="77">
        <f aca="true" t="shared" si="6" ref="B41:AE41">B39-B40</f>
        <v>54.489708625000006</v>
      </c>
      <c r="C41" s="77">
        <f t="shared" si="6"/>
        <v>54.346658812499996</v>
      </c>
      <c r="D41" s="77">
        <f t="shared" si="6"/>
        <v>54.89561628125</v>
      </c>
      <c r="E41" s="77">
        <f t="shared" si="6"/>
        <v>55.418916062499996</v>
      </c>
      <c r="F41" s="77">
        <f t="shared" si="6"/>
        <v>53.1683998125</v>
      </c>
      <c r="G41" s="77">
        <f t="shared" si="6"/>
        <v>55.05450034375001</v>
      </c>
      <c r="H41" s="77">
        <f t="shared" si="6"/>
        <v>54.52721609375</v>
      </c>
      <c r="I41" s="77">
        <f t="shared" si="6"/>
        <v>58.66442440625</v>
      </c>
      <c r="J41" s="77">
        <f t="shared" si="6"/>
        <v>53.6015801875</v>
      </c>
      <c r="K41" s="77">
        <f t="shared" si="6"/>
        <v>59.103032875000004</v>
      </c>
      <c r="L41" s="77">
        <f t="shared" si="6"/>
        <v>59.05053662500001</v>
      </c>
      <c r="M41" s="77">
        <f t="shared" si="6"/>
        <v>57.836804625</v>
      </c>
      <c r="N41" s="77">
        <f t="shared" si="6"/>
        <v>56.3533873125</v>
      </c>
      <c r="O41" s="77">
        <f t="shared" si="6"/>
        <v>58.00836196875</v>
      </c>
      <c r="P41" s="77">
        <f t="shared" si="6"/>
        <v>60.31854265625</v>
      </c>
      <c r="Q41" s="77">
        <f t="shared" si="6"/>
        <v>59.06651368749999</v>
      </c>
      <c r="R41" s="77">
        <f t="shared" si="6"/>
        <v>64.9295045625</v>
      </c>
      <c r="S41" s="77">
        <f t="shared" si="6"/>
        <v>62.961307500000004</v>
      </c>
      <c r="T41" s="77">
        <f t="shared" si="6"/>
        <v>64.717798</v>
      </c>
      <c r="U41" s="77">
        <f t="shared" si="6"/>
        <v>61.5798306875</v>
      </c>
      <c r="V41" s="77">
        <f t="shared" si="6"/>
        <v>59.0792235</v>
      </c>
      <c r="W41" s="77">
        <f t="shared" si="6"/>
        <v>61.447095093749994</v>
      </c>
      <c r="X41" s="77">
        <f t="shared" si="6"/>
        <v>57.458484437500005</v>
      </c>
      <c r="Y41" s="77">
        <f t="shared" si="6"/>
        <v>56.30111000000001</v>
      </c>
      <c r="Z41" s="77">
        <f t="shared" si="6"/>
        <v>59.0415768125</v>
      </c>
      <c r="AA41" s="77">
        <f t="shared" si="6"/>
        <v>55.61817421875</v>
      </c>
      <c r="AB41" s="77">
        <f t="shared" si="6"/>
        <v>54.89873</v>
      </c>
      <c r="AC41" s="77">
        <f t="shared" si="6"/>
        <v>56.75500575</v>
      </c>
      <c r="AD41" s="77">
        <f t="shared" si="6"/>
        <v>55.97112518749999</v>
      </c>
      <c r="AE41" s="77">
        <f t="shared" si="6"/>
        <v>57.06017493750001</v>
      </c>
      <c r="AF41" s="77">
        <f>AF39-AF40</f>
        <v>56.131815249999995</v>
      </c>
      <c r="AG41" s="40">
        <f>AVERAGE(B41:AF41)</f>
        <v>57.672746977822584</v>
      </c>
    </row>
    <row r="42" spans="1:33" ht="23.2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44"/>
    </row>
    <row r="43" spans="1:33" ht="23.25">
      <c r="A43" s="8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47"/>
    </row>
    <row r="44" spans="2:33" ht="23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44"/>
    </row>
  </sheetData>
  <sheetProtection/>
  <printOptions/>
  <pageMargins left="0.35" right="0.21" top="0.51" bottom="0.51" header="0.5" footer="0.5"/>
  <pageSetup horizontalDpi="300" verticalDpi="300" orientation="landscape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44"/>
  <sheetViews>
    <sheetView zoomScale="55" zoomScaleNormal="55" zoomScalePageLayoutView="0" workbookViewId="0" topLeftCell="A1">
      <pane xSplit="1" ySplit="5" topLeftCell="J2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1" sqref="B41:AF41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2" width="8.88671875" style="15" customWidth="1"/>
    <col min="33" max="33" width="10.3359375" style="37" bestFit="1" customWidth="1"/>
    <col min="34" max="16384" width="8.88671875" style="15" customWidth="1"/>
  </cols>
  <sheetData>
    <row r="1" spans="1:33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03"/>
    </row>
    <row r="2" spans="1:33" ht="23.25">
      <c r="A2" s="1">
        <v>41487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103"/>
    </row>
    <row r="3" spans="1:33" ht="23.25">
      <c r="A3" s="3" t="s">
        <v>21</v>
      </c>
      <c r="Z3" s="4"/>
      <c r="AA3" s="3"/>
      <c r="AB3" s="4"/>
      <c r="AC3" s="4"/>
      <c r="AD3" s="4"/>
      <c r="AE3" s="4"/>
      <c r="AF3" s="4"/>
      <c r="AG3" s="38"/>
    </row>
    <row r="4" spans="1:36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30"/>
      <c r="AH4" s="25"/>
      <c r="AI4" s="25"/>
      <c r="AJ4" s="25"/>
    </row>
    <row r="5" spans="1:33" ht="23.2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92">
        <v>31</v>
      </c>
      <c r="AG5" s="31" t="s">
        <v>33</v>
      </c>
    </row>
    <row r="6" spans="1:33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22"/>
      <c r="AG6" s="36"/>
    </row>
    <row r="7" spans="1:33" ht="23.25">
      <c r="A7" s="8" t="s">
        <v>1</v>
      </c>
      <c r="B7" s="45">
        <v>4.1</v>
      </c>
      <c r="C7" s="45">
        <v>3.9</v>
      </c>
      <c r="D7" s="45">
        <v>3.9</v>
      </c>
      <c r="E7" s="45">
        <v>3.5</v>
      </c>
      <c r="F7" s="45">
        <v>3.4</v>
      </c>
      <c r="G7" s="45">
        <v>3.9</v>
      </c>
      <c r="H7" s="45">
        <v>4.4</v>
      </c>
      <c r="I7" s="45">
        <v>3.9</v>
      </c>
      <c r="J7" s="45">
        <v>3</v>
      </c>
      <c r="K7" s="45">
        <v>3.3</v>
      </c>
      <c r="L7" s="45">
        <v>4.1</v>
      </c>
      <c r="M7" s="45">
        <v>4.3</v>
      </c>
      <c r="N7" s="45">
        <v>3.4</v>
      </c>
      <c r="O7" s="45">
        <v>4.5</v>
      </c>
      <c r="P7" s="45">
        <v>4.5</v>
      </c>
      <c r="Q7" s="45">
        <v>4.4</v>
      </c>
      <c r="R7" s="45">
        <v>2.9</v>
      </c>
      <c r="S7" s="45">
        <v>3.2</v>
      </c>
      <c r="T7" s="45">
        <v>3.5</v>
      </c>
      <c r="U7" s="45">
        <v>3.4</v>
      </c>
      <c r="V7" s="45">
        <v>3.1</v>
      </c>
      <c r="W7" s="45">
        <v>3.5</v>
      </c>
      <c r="X7" s="45">
        <v>3</v>
      </c>
      <c r="Y7" s="45">
        <v>2.7</v>
      </c>
      <c r="Z7" s="45">
        <v>3.7</v>
      </c>
      <c r="AA7" s="45">
        <v>3.7</v>
      </c>
      <c r="AB7" s="45">
        <v>4</v>
      </c>
      <c r="AC7" s="45">
        <v>3.8</v>
      </c>
      <c r="AD7" s="45">
        <v>3.1</v>
      </c>
      <c r="AE7" s="45">
        <v>1.9</v>
      </c>
      <c r="AF7" s="45">
        <v>1.8</v>
      </c>
      <c r="AG7" s="45"/>
    </row>
    <row r="8" spans="1:33" ht="23.25">
      <c r="A8" s="8" t="s">
        <v>2</v>
      </c>
      <c r="B8" s="45">
        <v>13</v>
      </c>
      <c r="C8" s="45">
        <v>13.1</v>
      </c>
      <c r="D8" s="45">
        <v>10.4</v>
      </c>
      <c r="E8" s="45">
        <v>12.2</v>
      </c>
      <c r="F8" s="45">
        <v>12.4</v>
      </c>
      <c r="G8" s="45">
        <v>12</v>
      </c>
      <c r="H8" s="45">
        <v>12.3</v>
      </c>
      <c r="I8" s="45">
        <v>10.4</v>
      </c>
      <c r="J8" s="45">
        <v>13</v>
      </c>
      <c r="K8" s="45">
        <v>13.7</v>
      </c>
      <c r="L8" s="45">
        <v>13.8</v>
      </c>
      <c r="M8" s="45">
        <v>12.9</v>
      </c>
      <c r="N8" s="45">
        <v>10.4</v>
      </c>
      <c r="O8" s="45">
        <v>13.6</v>
      </c>
      <c r="P8" s="45">
        <v>11.2</v>
      </c>
      <c r="Q8" s="45">
        <v>11.9</v>
      </c>
      <c r="R8" s="45">
        <v>10.9</v>
      </c>
      <c r="S8" s="45">
        <v>11.4</v>
      </c>
      <c r="T8" s="45">
        <v>12.2</v>
      </c>
      <c r="U8" s="45">
        <v>13.3</v>
      </c>
      <c r="V8" s="45">
        <v>15.6</v>
      </c>
      <c r="W8" s="45">
        <v>13</v>
      </c>
      <c r="X8" s="45">
        <v>12.1</v>
      </c>
      <c r="Y8" s="45">
        <v>12.7</v>
      </c>
      <c r="Z8" s="45">
        <v>13.2</v>
      </c>
      <c r="AA8" s="45">
        <v>12.4</v>
      </c>
      <c r="AB8" s="45">
        <v>13</v>
      </c>
      <c r="AC8" s="45">
        <v>18.6</v>
      </c>
      <c r="AD8" s="45">
        <v>12.1</v>
      </c>
      <c r="AE8" s="45">
        <v>11.9</v>
      </c>
      <c r="AF8" s="45">
        <v>12.6</v>
      </c>
      <c r="AG8" s="45"/>
    </row>
    <row r="9" spans="1:33" ht="23.25">
      <c r="A9" s="8"/>
      <c r="B9" s="77">
        <f aca="true" t="shared" si="0" ref="B9:AF9">SUM(B7:B8)</f>
        <v>17.1</v>
      </c>
      <c r="C9" s="77">
        <f t="shared" si="0"/>
        <v>17</v>
      </c>
      <c r="D9" s="77">
        <f t="shared" si="0"/>
        <v>14.3</v>
      </c>
      <c r="E9" s="77">
        <f t="shared" si="0"/>
        <v>15.7</v>
      </c>
      <c r="F9" s="77">
        <f t="shared" si="0"/>
        <v>15.8</v>
      </c>
      <c r="G9" s="77">
        <f t="shared" si="0"/>
        <v>15.9</v>
      </c>
      <c r="H9" s="77">
        <f t="shared" si="0"/>
        <v>16.700000000000003</v>
      </c>
      <c r="I9" s="77">
        <f t="shared" si="0"/>
        <v>14.3</v>
      </c>
      <c r="J9" s="77">
        <f t="shared" si="0"/>
        <v>16</v>
      </c>
      <c r="K9" s="77">
        <f t="shared" si="0"/>
        <v>17</v>
      </c>
      <c r="L9" s="77">
        <f t="shared" si="0"/>
        <v>17.9</v>
      </c>
      <c r="M9" s="77">
        <f t="shared" si="0"/>
        <v>17.2</v>
      </c>
      <c r="N9" s="77">
        <f t="shared" si="0"/>
        <v>13.8</v>
      </c>
      <c r="O9" s="77">
        <f t="shared" si="0"/>
        <v>18.1</v>
      </c>
      <c r="P9" s="77">
        <f t="shared" si="0"/>
        <v>15.7</v>
      </c>
      <c r="Q9" s="77">
        <f t="shared" si="0"/>
        <v>16.3</v>
      </c>
      <c r="R9" s="77">
        <f t="shared" si="0"/>
        <v>13.8</v>
      </c>
      <c r="S9" s="77">
        <f t="shared" si="0"/>
        <v>14.600000000000001</v>
      </c>
      <c r="T9" s="77">
        <f t="shared" si="0"/>
        <v>15.7</v>
      </c>
      <c r="U9" s="77">
        <f t="shared" si="0"/>
        <v>16.7</v>
      </c>
      <c r="V9" s="77">
        <f t="shared" si="0"/>
        <v>18.7</v>
      </c>
      <c r="W9" s="77">
        <f t="shared" si="0"/>
        <v>16.5</v>
      </c>
      <c r="X9" s="77">
        <f t="shared" si="0"/>
        <v>15.1</v>
      </c>
      <c r="Y9" s="77">
        <f t="shared" si="0"/>
        <v>15.399999999999999</v>
      </c>
      <c r="Z9" s="77">
        <f t="shared" si="0"/>
        <v>16.9</v>
      </c>
      <c r="AA9" s="77">
        <f t="shared" si="0"/>
        <v>16.1</v>
      </c>
      <c r="AB9" s="77">
        <f t="shared" si="0"/>
        <v>17</v>
      </c>
      <c r="AC9" s="77">
        <f t="shared" si="0"/>
        <v>22.400000000000002</v>
      </c>
      <c r="AD9" s="77">
        <f t="shared" si="0"/>
        <v>15.2</v>
      </c>
      <c r="AE9" s="77">
        <f t="shared" si="0"/>
        <v>13.8</v>
      </c>
      <c r="AF9" s="77">
        <f t="shared" si="0"/>
        <v>14.4</v>
      </c>
      <c r="AG9" s="40">
        <f>AVERAGE(C9:AF9)</f>
        <v>16.133333333333333</v>
      </c>
    </row>
    <row r="10" spans="1:33" ht="23.25">
      <c r="A10" s="9" t="s">
        <v>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45"/>
    </row>
    <row r="11" spans="1:33" ht="23.25">
      <c r="A11" s="8" t="s">
        <v>19</v>
      </c>
      <c r="B11" s="45">
        <f>15.37-0.411</f>
        <v>14.959</v>
      </c>
      <c r="C11" s="45">
        <f>15.497-0.431</f>
        <v>15.066</v>
      </c>
      <c r="D11" s="45">
        <f>15.705-0.25</f>
        <v>15.455</v>
      </c>
      <c r="E11" s="45">
        <f>16.297-0.375</f>
        <v>15.922</v>
      </c>
      <c r="F11" s="45">
        <f>15.971-0.419</f>
        <v>15.552</v>
      </c>
      <c r="G11" s="45">
        <f>15.991-0.428</f>
        <v>15.562999999999999</v>
      </c>
      <c r="H11" s="61">
        <f>14.591-0.426</f>
        <v>14.165</v>
      </c>
      <c r="I11" s="61">
        <f>15.048-0.215</f>
        <v>14.833</v>
      </c>
      <c r="J11" s="61">
        <f>14.895-0.199</f>
        <v>14.696</v>
      </c>
      <c r="K11" s="61">
        <f>15.631-0.336</f>
        <v>15.295</v>
      </c>
      <c r="L11" s="45">
        <f>15.643-0.331</f>
        <v>15.312000000000001</v>
      </c>
      <c r="M11" s="45">
        <f>15.203-0.263</f>
        <v>14.94</v>
      </c>
      <c r="N11" s="45">
        <f>14.64-0.218</f>
        <v>14.422</v>
      </c>
      <c r="O11" s="165">
        <f>14.936-0.216</f>
        <v>14.72</v>
      </c>
      <c r="P11" s="45">
        <f>14.612-0.219</f>
        <v>14.393</v>
      </c>
      <c r="Q11" s="45">
        <f>13.77-0.229</f>
        <v>13.541</v>
      </c>
      <c r="R11" s="45">
        <f>14.503-0.231</f>
        <v>14.272</v>
      </c>
      <c r="S11" s="45">
        <f>13.557--0.284</f>
        <v>13.841000000000001</v>
      </c>
      <c r="T11" s="45">
        <f>15.483-3.13</f>
        <v>12.353000000000002</v>
      </c>
      <c r="U11" s="45">
        <f>15.186-0.573</f>
        <v>14.613</v>
      </c>
      <c r="V11" s="45">
        <f>16.013-0.195</f>
        <v>15.818000000000001</v>
      </c>
      <c r="W11" s="45">
        <f>15.494-0.254</f>
        <v>15.24</v>
      </c>
      <c r="X11" s="45">
        <f>15.639-0.256</f>
        <v>15.383</v>
      </c>
      <c r="Y11" s="45">
        <f>15.893-0.261</f>
        <v>15.632000000000001</v>
      </c>
      <c r="Z11" s="45">
        <f>15.447-0.254</f>
        <v>15.193</v>
      </c>
      <c r="AA11" s="45">
        <f>16.5-0.257</f>
        <v>16.243</v>
      </c>
      <c r="AB11" s="45">
        <f>15.953-0.261</f>
        <v>15.692</v>
      </c>
      <c r="AC11" s="45">
        <f>15.981-0.28</f>
        <v>15.701</v>
      </c>
      <c r="AD11" s="45">
        <f>14.874-0.262</f>
        <v>14.612</v>
      </c>
      <c r="AE11" s="45">
        <f>15.549-0.283</f>
        <v>15.266</v>
      </c>
      <c r="AF11" s="45">
        <f>15.014-0.348</f>
        <v>14.665999999999999</v>
      </c>
      <c r="AG11" s="45"/>
    </row>
    <row r="12" spans="1:33" ht="23.25">
      <c r="A12" s="7" t="s">
        <v>28</v>
      </c>
      <c r="B12" s="45">
        <v>-0.411</v>
      </c>
      <c r="C12" s="45">
        <v>-0.431</v>
      </c>
      <c r="D12" s="45">
        <v>-0.25</v>
      </c>
      <c r="E12" s="45">
        <v>-0.375</v>
      </c>
      <c r="F12" s="45">
        <v>-0.419</v>
      </c>
      <c r="G12" s="45">
        <v>-0.428</v>
      </c>
      <c r="H12" s="61">
        <v>-0.426</v>
      </c>
      <c r="I12" s="61">
        <v>-0.215</v>
      </c>
      <c r="J12" s="61">
        <v>-0.199</v>
      </c>
      <c r="K12" s="61">
        <v>-0.336</v>
      </c>
      <c r="L12" s="45">
        <v>-0.331</v>
      </c>
      <c r="M12" s="45">
        <v>-0.263</v>
      </c>
      <c r="N12" s="45">
        <v>-0.218</v>
      </c>
      <c r="O12" s="45">
        <v>-0.216</v>
      </c>
      <c r="P12" s="45">
        <v>-0.219</v>
      </c>
      <c r="Q12" s="45">
        <v>-0.229</v>
      </c>
      <c r="R12" s="45">
        <v>-0.231</v>
      </c>
      <c r="S12" s="45">
        <v>-0.284</v>
      </c>
      <c r="T12" s="45">
        <v>-0.313</v>
      </c>
      <c r="U12" s="45">
        <v>-0.573</v>
      </c>
      <c r="V12" s="45">
        <v>-0.195</v>
      </c>
      <c r="W12" s="45">
        <v>-0.254</v>
      </c>
      <c r="X12" s="45">
        <v>-0.256</v>
      </c>
      <c r="Y12" s="45">
        <v>-0.261</v>
      </c>
      <c r="Z12" s="45">
        <v>-0.254</v>
      </c>
      <c r="AA12" s="45">
        <v>-0.257</v>
      </c>
      <c r="AB12" s="45">
        <v>-0.261</v>
      </c>
      <c r="AC12" s="45">
        <v>-0.28</v>
      </c>
      <c r="AD12" s="45">
        <v>-0.262</v>
      </c>
      <c r="AE12" s="45">
        <v>-0.283</v>
      </c>
      <c r="AF12" s="45">
        <v>-0.348</v>
      </c>
      <c r="AG12" s="45"/>
    </row>
    <row r="13" spans="1:33" ht="23.25">
      <c r="A13" s="8" t="s">
        <v>5</v>
      </c>
      <c r="B13" s="45">
        <v>2.942</v>
      </c>
      <c r="C13" s="45">
        <v>2.927</v>
      </c>
      <c r="D13" s="45">
        <v>2.859</v>
      </c>
      <c r="E13" s="45">
        <v>2.878</v>
      </c>
      <c r="F13" s="45">
        <v>2.909</v>
      </c>
      <c r="G13" s="45">
        <v>2.892</v>
      </c>
      <c r="H13" s="61">
        <v>2.678</v>
      </c>
      <c r="I13" s="61">
        <v>3.239</v>
      </c>
      <c r="J13" s="61">
        <v>2.903</v>
      </c>
      <c r="K13" s="61">
        <v>2.88</v>
      </c>
      <c r="L13" s="45">
        <v>2.925</v>
      </c>
      <c r="M13" s="45">
        <v>2.887</v>
      </c>
      <c r="N13" s="45">
        <v>2.922</v>
      </c>
      <c r="O13" s="45">
        <v>2.872</v>
      </c>
      <c r="P13" s="45">
        <v>2.877</v>
      </c>
      <c r="Q13" s="45">
        <v>2.868</v>
      </c>
      <c r="R13" s="45">
        <v>2.565</v>
      </c>
      <c r="S13" s="45">
        <v>3.181</v>
      </c>
      <c r="T13" s="45">
        <v>2.839</v>
      </c>
      <c r="U13" s="45">
        <v>2.827</v>
      </c>
      <c r="V13" s="45">
        <v>2.848</v>
      </c>
      <c r="W13" s="45">
        <v>2.833</v>
      </c>
      <c r="X13" s="45">
        <v>2.867</v>
      </c>
      <c r="Y13" s="45">
        <v>2.888</v>
      </c>
      <c r="Z13" s="45">
        <v>2.912</v>
      </c>
      <c r="AA13" s="45">
        <v>2.897</v>
      </c>
      <c r="AB13" s="45">
        <v>2.895</v>
      </c>
      <c r="AC13" s="45">
        <v>2.906</v>
      </c>
      <c r="AD13" s="45">
        <v>2.813</v>
      </c>
      <c r="AE13" s="45">
        <v>2.85</v>
      </c>
      <c r="AF13" s="45">
        <v>2.912</v>
      </c>
      <c r="AG13" s="45"/>
    </row>
    <row r="14" spans="1:33" ht="23.25">
      <c r="A14" s="8" t="s">
        <v>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45"/>
    </row>
    <row r="15" spans="1:33" ht="23.25">
      <c r="A15" s="8" t="s">
        <v>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45"/>
    </row>
    <row r="16" spans="1:33" ht="23.25">
      <c r="A16" s="8"/>
      <c r="B16" s="77">
        <f aca="true" t="shared" si="1" ref="B16:AF16">SUM(B11:B15)</f>
        <v>17.490000000000002</v>
      </c>
      <c r="C16" s="77">
        <f t="shared" si="1"/>
        <v>17.562</v>
      </c>
      <c r="D16" s="77">
        <f t="shared" si="1"/>
        <v>18.064</v>
      </c>
      <c r="E16" s="77">
        <f t="shared" si="1"/>
        <v>18.425</v>
      </c>
      <c r="F16" s="77">
        <f t="shared" si="1"/>
        <v>18.041999999999998</v>
      </c>
      <c r="G16" s="77">
        <f t="shared" si="1"/>
        <v>18.026999999999997</v>
      </c>
      <c r="H16" s="77">
        <f t="shared" si="1"/>
        <v>16.416999999999998</v>
      </c>
      <c r="I16" s="77">
        <f t="shared" si="1"/>
        <v>17.857</v>
      </c>
      <c r="J16" s="77">
        <f t="shared" si="1"/>
        <v>17.4</v>
      </c>
      <c r="K16" s="77">
        <f t="shared" si="1"/>
        <v>17.839</v>
      </c>
      <c r="L16" s="77">
        <f t="shared" si="1"/>
        <v>17.906000000000002</v>
      </c>
      <c r="M16" s="77">
        <f t="shared" si="1"/>
        <v>17.564</v>
      </c>
      <c r="N16" s="77">
        <f t="shared" si="1"/>
        <v>17.126</v>
      </c>
      <c r="O16" s="77">
        <f t="shared" si="1"/>
        <v>17.376</v>
      </c>
      <c r="P16" s="77">
        <f t="shared" si="1"/>
        <v>17.051000000000002</v>
      </c>
      <c r="Q16" s="77">
        <f t="shared" si="1"/>
        <v>16.18</v>
      </c>
      <c r="R16" s="77">
        <f t="shared" si="1"/>
        <v>16.606</v>
      </c>
      <c r="S16" s="77">
        <f t="shared" si="1"/>
        <v>16.738</v>
      </c>
      <c r="T16" s="77">
        <f t="shared" si="1"/>
        <v>14.879000000000001</v>
      </c>
      <c r="U16" s="77">
        <f t="shared" si="1"/>
        <v>16.866999999999997</v>
      </c>
      <c r="V16" s="77">
        <f t="shared" si="1"/>
        <v>18.471</v>
      </c>
      <c r="W16" s="77">
        <f t="shared" si="1"/>
        <v>17.819000000000003</v>
      </c>
      <c r="X16" s="77">
        <f t="shared" si="1"/>
        <v>17.994</v>
      </c>
      <c r="Y16" s="77">
        <f t="shared" si="1"/>
        <v>18.259</v>
      </c>
      <c r="Z16" s="77">
        <f t="shared" si="1"/>
        <v>17.851</v>
      </c>
      <c r="AA16" s="77">
        <f t="shared" si="1"/>
        <v>18.883</v>
      </c>
      <c r="AB16" s="77">
        <f t="shared" si="1"/>
        <v>18.326</v>
      </c>
      <c r="AC16" s="77">
        <f t="shared" si="1"/>
        <v>18.327</v>
      </c>
      <c r="AD16" s="77">
        <f t="shared" si="1"/>
        <v>17.163</v>
      </c>
      <c r="AE16" s="77">
        <f t="shared" si="1"/>
        <v>17.833000000000002</v>
      </c>
      <c r="AF16" s="77">
        <f t="shared" si="1"/>
        <v>17.229999999999997</v>
      </c>
      <c r="AG16" s="40">
        <f>AVERAGE(C16:AF16)</f>
        <v>17.53606666666667</v>
      </c>
    </row>
    <row r="17" spans="1:33" ht="23.25">
      <c r="A17" s="16" t="s">
        <v>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45"/>
    </row>
    <row r="18" spans="1:33" ht="23.25">
      <c r="A18" s="14" t="s">
        <v>9</v>
      </c>
      <c r="B18" s="113">
        <v>15.23</v>
      </c>
      <c r="C18" s="113">
        <v>15.35</v>
      </c>
      <c r="D18" s="113">
        <v>13.7</v>
      </c>
      <c r="E18" s="113">
        <v>15.12</v>
      </c>
      <c r="F18" s="113">
        <v>14.37</v>
      </c>
      <c r="G18" s="113">
        <v>14.6</v>
      </c>
      <c r="H18" s="113">
        <v>14.51</v>
      </c>
      <c r="I18" s="113">
        <v>16.08</v>
      </c>
      <c r="J18" s="113">
        <v>14.09</v>
      </c>
      <c r="K18" s="113">
        <v>16.19</v>
      </c>
      <c r="L18" s="113">
        <v>16.16</v>
      </c>
      <c r="M18" s="113">
        <v>16.55</v>
      </c>
      <c r="N18" s="113">
        <v>15.03</v>
      </c>
      <c r="O18" s="113">
        <v>15.14</v>
      </c>
      <c r="P18" s="113">
        <v>16.96</v>
      </c>
      <c r="Q18" s="113">
        <v>15.05</v>
      </c>
      <c r="R18" s="113">
        <v>14.57</v>
      </c>
      <c r="S18" s="113">
        <v>15.96</v>
      </c>
      <c r="T18" s="113">
        <v>17.33</v>
      </c>
      <c r="U18" s="113">
        <v>16.07</v>
      </c>
      <c r="V18" s="113">
        <v>17.52</v>
      </c>
      <c r="W18" s="113">
        <v>17.39</v>
      </c>
      <c r="X18" s="113">
        <v>17.82</v>
      </c>
      <c r="Y18" s="113">
        <v>16.41</v>
      </c>
      <c r="Z18" s="113">
        <v>15.51</v>
      </c>
      <c r="AA18" s="113">
        <v>18.35</v>
      </c>
      <c r="AB18" s="113">
        <v>15.74</v>
      </c>
      <c r="AC18" s="113">
        <v>17.86</v>
      </c>
      <c r="AD18" s="113">
        <v>18.3</v>
      </c>
      <c r="AE18" s="113">
        <v>16</v>
      </c>
      <c r="AF18" s="113">
        <v>16.64</v>
      </c>
      <c r="AG18" s="45"/>
    </row>
    <row r="19" spans="1:33" ht="23.25">
      <c r="A19" s="18" t="s">
        <v>28</v>
      </c>
      <c r="B19" s="112">
        <v>-0.36</v>
      </c>
      <c r="C19" s="112">
        <v>-0.34</v>
      </c>
      <c r="D19" s="112">
        <v>-0.36</v>
      </c>
      <c r="E19" s="112">
        <v>-0.35</v>
      </c>
      <c r="F19" s="112">
        <v>-0.35</v>
      </c>
      <c r="G19" s="112">
        <v>-0.35</v>
      </c>
      <c r="H19" s="112">
        <v>-0.35</v>
      </c>
      <c r="I19" s="112">
        <v>-0.36</v>
      </c>
      <c r="J19" s="112">
        <v>-0.35</v>
      </c>
      <c r="K19" s="112">
        <v>-0.33</v>
      </c>
      <c r="L19" s="112">
        <v>-0.3</v>
      </c>
      <c r="M19" s="112">
        <v>-0.31</v>
      </c>
      <c r="N19" s="112">
        <v>-0.31</v>
      </c>
      <c r="O19" s="112">
        <v>-0.3</v>
      </c>
      <c r="P19" s="112">
        <v>-0.3</v>
      </c>
      <c r="Q19" s="112">
        <v>-0.3</v>
      </c>
      <c r="R19" s="112">
        <v>-0.3</v>
      </c>
      <c r="S19" s="112">
        <v>-0.35</v>
      </c>
      <c r="T19" s="112">
        <v>-0.3</v>
      </c>
      <c r="U19" s="112">
        <v>-0.3</v>
      </c>
      <c r="V19" s="112">
        <v>-0.31</v>
      </c>
      <c r="W19" s="112">
        <v>-0.31</v>
      </c>
      <c r="X19" s="112">
        <v>-0.34</v>
      </c>
      <c r="Y19" s="112">
        <v>-0.3</v>
      </c>
      <c r="Z19" s="112">
        <v>-0.36</v>
      </c>
      <c r="AA19" s="112">
        <v>-0.36</v>
      </c>
      <c r="AB19" s="112">
        <v>-0.33</v>
      </c>
      <c r="AC19" s="112">
        <v>-0.36</v>
      </c>
      <c r="AD19" s="112">
        <v>-0.36</v>
      </c>
      <c r="AE19" s="112">
        <v>-0.36</v>
      </c>
      <c r="AF19" s="112">
        <v>-0.36</v>
      </c>
      <c r="AG19" s="45"/>
    </row>
    <row r="20" spans="1:33" ht="23.25">
      <c r="A20" s="14" t="s">
        <v>10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45"/>
    </row>
    <row r="21" spans="1:33" ht="23.25">
      <c r="A21" s="14" t="s">
        <v>25</v>
      </c>
      <c r="B21" s="131">
        <v>47</v>
      </c>
      <c r="C21" s="131">
        <v>26</v>
      </c>
      <c r="D21" s="131">
        <v>40</v>
      </c>
      <c r="E21" s="131">
        <v>44</v>
      </c>
      <c r="F21" s="131">
        <v>45</v>
      </c>
      <c r="G21" s="131">
        <v>40</v>
      </c>
      <c r="H21" s="131">
        <v>50</v>
      </c>
      <c r="I21" s="131">
        <v>42</v>
      </c>
      <c r="J21" s="131">
        <v>50</v>
      </c>
      <c r="K21" s="131">
        <v>50</v>
      </c>
      <c r="L21" s="131">
        <v>55</v>
      </c>
      <c r="M21" s="131">
        <v>46</v>
      </c>
      <c r="N21" s="131">
        <v>48</v>
      </c>
      <c r="O21" s="131">
        <v>28</v>
      </c>
      <c r="P21" s="131">
        <v>34</v>
      </c>
      <c r="Q21" s="131">
        <v>42</v>
      </c>
      <c r="R21" s="131">
        <v>44</v>
      </c>
      <c r="S21" s="131">
        <v>50</v>
      </c>
      <c r="T21" s="131">
        <v>49</v>
      </c>
      <c r="U21" s="131">
        <v>40</v>
      </c>
      <c r="V21" s="131">
        <v>38</v>
      </c>
      <c r="W21" s="131">
        <v>51</v>
      </c>
      <c r="X21" s="131">
        <v>48</v>
      </c>
      <c r="Y21" s="131">
        <v>53</v>
      </c>
      <c r="Z21" s="131">
        <v>54</v>
      </c>
      <c r="AA21" s="131">
        <v>52</v>
      </c>
      <c r="AB21" s="131">
        <v>43</v>
      </c>
      <c r="AC21" s="131">
        <v>45</v>
      </c>
      <c r="AD21" s="131">
        <v>45</v>
      </c>
      <c r="AE21" s="131">
        <v>40</v>
      </c>
      <c r="AF21" s="131">
        <v>44</v>
      </c>
      <c r="AG21" s="149"/>
    </row>
    <row r="22" spans="1:33" ht="23.25">
      <c r="A22" s="14" t="s">
        <v>24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45"/>
    </row>
    <row r="23" spans="1:33" ht="23.25">
      <c r="A23" s="14" t="s">
        <v>26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45"/>
    </row>
    <row r="24" spans="1:33" ht="23.25">
      <c r="A24" s="14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45"/>
    </row>
    <row r="25" spans="1:33" ht="23.25">
      <c r="A25" s="14" t="s">
        <v>18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45"/>
    </row>
    <row r="26" spans="1:33" ht="23.25">
      <c r="A26" s="14" t="s">
        <v>5</v>
      </c>
      <c r="B26" s="113">
        <v>0.6</v>
      </c>
      <c r="C26" s="113">
        <v>0.6</v>
      </c>
      <c r="D26" s="113">
        <v>0.6</v>
      </c>
      <c r="E26" s="113">
        <v>0.6</v>
      </c>
      <c r="F26" s="113">
        <v>0.6</v>
      </c>
      <c r="G26" s="113">
        <v>0.6</v>
      </c>
      <c r="H26" s="113">
        <v>0.6</v>
      </c>
      <c r="I26" s="113">
        <v>0.6</v>
      </c>
      <c r="J26" s="113">
        <v>0.6</v>
      </c>
      <c r="K26" s="113">
        <v>0.6</v>
      </c>
      <c r="L26" s="113">
        <v>0.4</v>
      </c>
      <c r="M26" s="113">
        <v>0.4</v>
      </c>
      <c r="N26" s="113">
        <v>0.4</v>
      </c>
      <c r="O26" s="113">
        <v>0.4</v>
      </c>
      <c r="P26" s="113">
        <v>0.4</v>
      </c>
      <c r="Q26" s="113">
        <v>0.4</v>
      </c>
      <c r="R26" s="113">
        <v>0.4</v>
      </c>
      <c r="S26" s="113">
        <v>0.4</v>
      </c>
      <c r="T26" s="113">
        <v>0.4</v>
      </c>
      <c r="U26" s="113">
        <v>0.4</v>
      </c>
      <c r="V26" s="113">
        <v>0.4</v>
      </c>
      <c r="W26" s="113">
        <v>0.4</v>
      </c>
      <c r="X26" s="113">
        <v>0.4</v>
      </c>
      <c r="Y26" s="113">
        <v>0.4</v>
      </c>
      <c r="Z26" s="113">
        <v>0.3</v>
      </c>
      <c r="AA26" s="113">
        <v>0.3</v>
      </c>
      <c r="AB26" s="113">
        <v>0.3</v>
      </c>
      <c r="AC26" s="113">
        <v>0.3</v>
      </c>
      <c r="AD26" s="113">
        <v>0.3</v>
      </c>
      <c r="AE26" s="113">
        <v>0.3</v>
      </c>
      <c r="AF26" s="113">
        <v>0.3</v>
      </c>
      <c r="AG26" s="45"/>
    </row>
    <row r="27" spans="1:33" ht="23.25">
      <c r="A27" s="14" t="s">
        <v>11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45"/>
    </row>
    <row r="28" spans="1:33" ht="23.25">
      <c r="A28" s="14" t="s">
        <v>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45"/>
    </row>
    <row r="29" spans="1:33" ht="23.25">
      <c r="A29" s="8"/>
      <c r="B29" s="77">
        <f>SUM(B18+B19+B20+B25+B26+B27+B28)</f>
        <v>15.47</v>
      </c>
      <c r="C29" s="77">
        <f aca="true" t="shared" si="2" ref="C29:AF29">SUM(C18+C19+C20+C25+C26+C27+C28)</f>
        <v>15.61</v>
      </c>
      <c r="D29" s="77">
        <f t="shared" si="2"/>
        <v>13.94</v>
      </c>
      <c r="E29" s="77">
        <f t="shared" si="2"/>
        <v>15.37</v>
      </c>
      <c r="F29" s="77">
        <f t="shared" si="2"/>
        <v>14.62</v>
      </c>
      <c r="G29" s="77">
        <f t="shared" si="2"/>
        <v>14.85</v>
      </c>
      <c r="H29" s="77">
        <f t="shared" si="2"/>
        <v>14.76</v>
      </c>
      <c r="I29" s="77">
        <f t="shared" si="2"/>
        <v>16.32</v>
      </c>
      <c r="J29" s="77">
        <f t="shared" si="2"/>
        <v>14.34</v>
      </c>
      <c r="K29" s="77">
        <f t="shared" si="2"/>
        <v>16.46</v>
      </c>
      <c r="L29" s="77">
        <f t="shared" si="2"/>
        <v>16.259999999999998</v>
      </c>
      <c r="M29" s="77">
        <f t="shared" si="2"/>
        <v>16.64</v>
      </c>
      <c r="N29" s="77">
        <f t="shared" si="2"/>
        <v>15.12</v>
      </c>
      <c r="O29" s="77">
        <f t="shared" si="2"/>
        <v>15.24</v>
      </c>
      <c r="P29" s="77">
        <f t="shared" si="2"/>
        <v>17.06</v>
      </c>
      <c r="Q29" s="77">
        <f t="shared" si="2"/>
        <v>15.15</v>
      </c>
      <c r="R29" s="77">
        <f t="shared" si="2"/>
        <v>14.67</v>
      </c>
      <c r="S29" s="77">
        <f t="shared" si="2"/>
        <v>16.01</v>
      </c>
      <c r="T29" s="77">
        <f t="shared" si="2"/>
        <v>17.429999999999996</v>
      </c>
      <c r="U29" s="77">
        <f t="shared" si="2"/>
        <v>16.169999999999998</v>
      </c>
      <c r="V29" s="77">
        <f t="shared" si="2"/>
        <v>17.61</v>
      </c>
      <c r="W29" s="77">
        <f t="shared" si="2"/>
        <v>17.48</v>
      </c>
      <c r="X29" s="77">
        <f t="shared" si="2"/>
        <v>17.88</v>
      </c>
      <c r="Y29" s="77">
        <f t="shared" si="2"/>
        <v>16.509999999999998</v>
      </c>
      <c r="Z29" s="77">
        <f t="shared" si="2"/>
        <v>15.450000000000001</v>
      </c>
      <c r="AA29" s="77">
        <f t="shared" si="2"/>
        <v>18.290000000000003</v>
      </c>
      <c r="AB29" s="77">
        <f t="shared" si="2"/>
        <v>15.71</v>
      </c>
      <c r="AC29" s="77">
        <f t="shared" si="2"/>
        <v>17.8</v>
      </c>
      <c r="AD29" s="77">
        <f t="shared" si="2"/>
        <v>18.240000000000002</v>
      </c>
      <c r="AE29" s="77">
        <f t="shared" si="2"/>
        <v>15.940000000000001</v>
      </c>
      <c r="AF29" s="77">
        <f t="shared" si="2"/>
        <v>16.580000000000002</v>
      </c>
      <c r="AG29" s="40">
        <f>AVERAGE(C29:AF29)</f>
        <v>16.117</v>
      </c>
    </row>
    <row r="30" spans="1:33" ht="23.25">
      <c r="A30" s="9" t="s">
        <v>12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45"/>
    </row>
    <row r="31" spans="1:33" ht="23.25">
      <c r="A31" s="8" t="s">
        <v>13</v>
      </c>
      <c r="B31" s="45">
        <v>0</v>
      </c>
      <c r="C31" s="45">
        <v>0</v>
      </c>
      <c r="D31" s="45">
        <v>0</v>
      </c>
      <c r="E31" s="45">
        <v>0</v>
      </c>
      <c r="F31" s="45">
        <v>2.1</v>
      </c>
      <c r="G31" s="45">
        <v>1.6</v>
      </c>
      <c r="H31" s="45">
        <v>1.5</v>
      </c>
      <c r="I31" s="45">
        <v>1.5</v>
      </c>
      <c r="J31" s="45">
        <v>2</v>
      </c>
      <c r="K31" s="45">
        <v>1.7</v>
      </c>
      <c r="L31" s="45">
        <v>1.5</v>
      </c>
      <c r="M31" s="45">
        <v>1.7</v>
      </c>
      <c r="N31" s="45">
        <v>2.1</v>
      </c>
      <c r="O31" s="45">
        <v>0</v>
      </c>
      <c r="P31" s="45">
        <v>0</v>
      </c>
      <c r="Q31" s="45">
        <v>1.9</v>
      </c>
      <c r="R31" s="45">
        <v>1.4</v>
      </c>
      <c r="S31" s="45">
        <v>1.4</v>
      </c>
      <c r="T31" s="45">
        <v>2.1</v>
      </c>
      <c r="U31" s="45">
        <v>1.9</v>
      </c>
      <c r="V31" s="45">
        <v>1.9</v>
      </c>
      <c r="W31" s="45">
        <v>2.3</v>
      </c>
      <c r="X31" s="45">
        <v>2.3</v>
      </c>
      <c r="Y31" s="45">
        <v>1.8</v>
      </c>
      <c r="Z31" s="45">
        <v>2.1</v>
      </c>
      <c r="AA31" s="45">
        <v>2.5</v>
      </c>
      <c r="AB31" s="45">
        <v>2.7</v>
      </c>
      <c r="AC31" s="45">
        <v>2.6</v>
      </c>
      <c r="AD31" s="45">
        <v>2.6</v>
      </c>
      <c r="AE31" s="45">
        <v>2.4</v>
      </c>
      <c r="AF31" s="45">
        <v>2.5</v>
      </c>
      <c r="AG31" s="45"/>
    </row>
    <row r="32" spans="1:33" ht="23.25">
      <c r="A32" s="8" t="s">
        <v>31</v>
      </c>
      <c r="B32" s="45">
        <v>1.8</v>
      </c>
      <c r="C32" s="45">
        <v>1.9</v>
      </c>
      <c r="D32" s="45">
        <v>2.1</v>
      </c>
      <c r="E32" s="45">
        <v>2.1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1.8</v>
      </c>
      <c r="P32" s="45">
        <v>1.6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f>SUM(B32:AF32)</f>
        <v>11.3</v>
      </c>
    </row>
    <row r="33" spans="1:33" ht="23.25">
      <c r="A33" s="8" t="s">
        <v>4</v>
      </c>
      <c r="B33" s="45">
        <v>1.4</v>
      </c>
      <c r="C33" s="45">
        <v>1.4</v>
      </c>
      <c r="D33" s="45">
        <v>0.9</v>
      </c>
      <c r="E33" s="45">
        <v>0.9</v>
      </c>
      <c r="F33" s="45">
        <v>0.9</v>
      </c>
      <c r="G33" s="45">
        <v>1.4</v>
      </c>
      <c r="H33" s="45">
        <v>1.4</v>
      </c>
      <c r="I33" s="45">
        <v>1.4</v>
      </c>
      <c r="J33" s="45">
        <v>1.4</v>
      </c>
      <c r="K33" s="45">
        <v>1.4</v>
      </c>
      <c r="L33" s="45">
        <v>1.4</v>
      </c>
      <c r="M33" s="45">
        <v>1.4</v>
      </c>
      <c r="N33" s="45">
        <v>1.4</v>
      </c>
      <c r="O33" s="45">
        <v>1.4</v>
      </c>
      <c r="P33" s="45">
        <v>1.4</v>
      </c>
      <c r="Q33" s="45">
        <v>1.4</v>
      </c>
      <c r="R33" s="45">
        <v>1.4</v>
      </c>
      <c r="S33" s="45">
        <v>1.4</v>
      </c>
      <c r="T33" s="45">
        <v>1.4</v>
      </c>
      <c r="U33" s="45">
        <v>1.4</v>
      </c>
      <c r="V33" s="45">
        <v>1.4</v>
      </c>
      <c r="W33" s="45">
        <v>1.4</v>
      </c>
      <c r="X33" s="45">
        <v>1.4</v>
      </c>
      <c r="Y33" s="45">
        <v>1.4</v>
      </c>
      <c r="Z33" s="45">
        <v>1.4</v>
      </c>
      <c r="AA33" s="45">
        <v>1.4</v>
      </c>
      <c r="AB33" s="45">
        <v>1.4</v>
      </c>
      <c r="AC33" s="45">
        <v>1.4</v>
      </c>
      <c r="AD33" s="45">
        <v>1.4</v>
      </c>
      <c r="AE33" s="45">
        <v>1.4</v>
      </c>
      <c r="AF33" s="45">
        <v>1.4</v>
      </c>
      <c r="AG33" s="45"/>
    </row>
    <row r="34" spans="1:33" ht="23.25">
      <c r="A34" s="8" t="s">
        <v>14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/>
    </row>
    <row r="35" spans="1:33" ht="23.25">
      <c r="A35" s="8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/>
    </row>
    <row r="36" spans="1:33" ht="23.25">
      <c r="A36" s="9"/>
      <c r="B36" s="77">
        <f aca="true" t="shared" si="3" ref="B36:AF36">SUM(B31:B35)</f>
        <v>3.2</v>
      </c>
      <c r="C36" s="77">
        <f t="shared" si="3"/>
        <v>3.3</v>
      </c>
      <c r="D36" s="77">
        <f t="shared" si="3"/>
        <v>3</v>
      </c>
      <c r="E36" s="77">
        <f t="shared" si="3"/>
        <v>3</v>
      </c>
      <c r="F36" s="77">
        <f t="shared" si="3"/>
        <v>3</v>
      </c>
      <c r="G36" s="77">
        <f t="shared" si="3"/>
        <v>3</v>
      </c>
      <c r="H36" s="77">
        <f t="shared" si="3"/>
        <v>2.9</v>
      </c>
      <c r="I36" s="77">
        <f t="shared" si="3"/>
        <v>2.9</v>
      </c>
      <c r="J36" s="77">
        <f t="shared" si="3"/>
        <v>3.4</v>
      </c>
      <c r="K36" s="77">
        <f t="shared" si="3"/>
        <v>3.0999999999999996</v>
      </c>
      <c r="L36" s="77">
        <f t="shared" si="3"/>
        <v>2.9</v>
      </c>
      <c r="M36" s="77">
        <f t="shared" si="3"/>
        <v>3.0999999999999996</v>
      </c>
      <c r="N36" s="77">
        <f t="shared" si="3"/>
        <v>3.5</v>
      </c>
      <c r="O36" s="77">
        <f t="shared" si="3"/>
        <v>3.2</v>
      </c>
      <c r="P36" s="77">
        <f t="shared" si="3"/>
        <v>3</v>
      </c>
      <c r="Q36" s="77">
        <f t="shared" si="3"/>
        <v>3.3</v>
      </c>
      <c r="R36" s="77">
        <f t="shared" si="3"/>
        <v>2.8</v>
      </c>
      <c r="S36" s="77">
        <f t="shared" si="3"/>
        <v>2.8</v>
      </c>
      <c r="T36" s="77">
        <f t="shared" si="3"/>
        <v>3.5</v>
      </c>
      <c r="U36" s="77">
        <f t="shared" si="3"/>
        <v>3.3</v>
      </c>
      <c r="V36" s="77">
        <f t="shared" si="3"/>
        <v>3.3</v>
      </c>
      <c r="W36" s="77">
        <f t="shared" si="3"/>
        <v>3.6999999999999997</v>
      </c>
      <c r="X36" s="77">
        <f t="shared" si="3"/>
        <v>3.6999999999999997</v>
      </c>
      <c r="Y36" s="77">
        <f t="shared" si="3"/>
        <v>3.2</v>
      </c>
      <c r="Z36" s="77">
        <f t="shared" si="3"/>
        <v>3.5</v>
      </c>
      <c r="AA36" s="77">
        <f t="shared" si="3"/>
        <v>3.9</v>
      </c>
      <c r="AB36" s="77">
        <f t="shared" si="3"/>
        <v>4.1</v>
      </c>
      <c r="AC36" s="77">
        <f t="shared" si="3"/>
        <v>4</v>
      </c>
      <c r="AD36" s="77">
        <f t="shared" si="3"/>
        <v>4</v>
      </c>
      <c r="AE36" s="77">
        <f t="shared" si="3"/>
        <v>3.8</v>
      </c>
      <c r="AF36" s="77">
        <f t="shared" si="3"/>
        <v>3.9</v>
      </c>
      <c r="AG36" s="40">
        <f>AVERAGE(B36:AE36)</f>
        <v>3.313333333333333</v>
      </c>
    </row>
    <row r="37" spans="1:33" ht="23.25">
      <c r="A37" s="9" t="s">
        <v>15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40" t="s">
        <v>29</v>
      </c>
    </row>
    <row r="38" spans="1:33" ht="23.25">
      <c r="A38" s="8" t="s">
        <v>4</v>
      </c>
      <c r="B38" s="113">
        <v>0.574601</v>
      </c>
      <c r="C38" s="113">
        <v>0.547845625</v>
      </c>
      <c r="D38" s="113">
        <v>0.51555075</v>
      </c>
      <c r="E38" s="113">
        <v>0.5268341875</v>
      </c>
      <c r="F38" s="113">
        <v>0.543933625</v>
      </c>
      <c r="G38" s="113">
        <v>0.692482</v>
      </c>
      <c r="H38" s="113">
        <v>0.54456675</v>
      </c>
      <c r="I38" s="113">
        <v>0.546642625</v>
      </c>
      <c r="J38" s="113">
        <v>0.6859794375</v>
      </c>
      <c r="K38" s="113">
        <v>0.59415075</v>
      </c>
      <c r="L38" s="113">
        <v>0.588388</v>
      </c>
      <c r="M38" s="113">
        <v>0.520804625</v>
      </c>
      <c r="N38" s="113">
        <v>0.3793873125</v>
      </c>
      <c r="O38" s="113">
        <v>0.36036196875</v>
      </c>
      <c r="P38" s="113">
        <v>0.6939195625</v>
      </c>
      <c r="Q38" s="113">
        <v>0.372166</v>
      </c>
      <c r="R38" s="113">
        <v>0.575350125</v>
      </c>
      <c r="S38" s="113">
        <v>0.42870928125</v>
      </c>
      <c r="T38" s="113">
        <v>0.6954616875</v>
      </c>
      <c r="U38" s="113">
        <v>0.49943575</v>
      </c>
      <c r="V38" s="113">
        <v>0.49700721999999997</v>
      </c>
      <c r="W38" s="113">
        <v>0.47558325</v>
      </c>
      <c r="X38" s="113">
        <v>0.50343003</v>
      </c>
      <c r="Y38" s="113">
        <v>0.47623147</v>
      </c>
      <c r="Z38" s="113">
        <v>0.35282575</v>
      </c>
      <c r="AA38" s="113">
        <v>0.47394371999999996</v>
      </c>
      <c r="AB38" s="113">
        <v>0.6222900600000001</v>
      </c>
      <c r="AC38" s="113">
        <v>0.45766253</v>
      </c>
      <c r="AD38" s="113">
        <v>0.44767428000000004</v>
      </c>
      <c r="AE38" s="113">
        <v>0.65063638</v>
      </c>
      <c r="AF38" s="113">
        <v>0.32378915999999996</v>
      </c>
      <c r="AG38" s="40">
        <f>AVERAGE(B38:AF38)</f>
        <v>0.5215369326612904</v>
      </c>
    </row>
    <row r="39" spans="1:33" ht="23.25">
      <c r="A39" s="8" t="s">
        <v>16</v>
      </c>
      <c r="B39" s="77">
        <f aca="true" t="shared" si="4" ref="B39:AF39">SUM(B38,B36,B29,B16,B9)</f>
        <v>53.834601</v>
      </c>
      <c r="C39" s="77">
        <f t="shared" si="4"/>
        <v>54.019845625</v>
      </c>
      <c r="D39" s="77">
        <f t="shared" si="4"/>
        <v>49.819550750000005</v>
      </c>
      <c r="E39" s="77">
        <f t="shared" si="4"/>
        <v>53.021834187500005</v>
      </c>
      <c r="F39" s="77">
        <f t="shared" si="4"/>
        <v>52.005933625</v>
      </c>
      <c r="G39" s="77">
        <f t="shared" si="4"/>
        <v>52.46948199999999</v>
      </c>
      <c r="H39" s="77">
        <f t="shared" si="4"/>
        <v>51.32156675</v>
      </c>
      <c r="I39" s="77">
        <f t="shared" si="4"/>
        <v>51.923642625</v>
      </c>
      <c r="J39" s="77">
        <f t="shared" si="4"/>
        <v>51.825979437499996</v>
      </c>
      <c r="K39" s="77">
        <f t="shared" si="4"/>
        <v>54.99315075</v>
      </c>
      <c r="L39" s="77">
        <f t="shared" si="4"/>
        <v>55.554387999999996</v>
      </c>
      <c r="M39" s="77">
        <f t="shared" si="4"/>
        <v>55.024804625</v>
      </c>
      <c r="N39" s="77">
        <f t="shared" si="4"/>
        <v>49.92538731249999</v>
      </c>
      <c r="O39" s="77">
        <f t="shared" si="4"/>
        <v>54.27636196875</v>
      </c>
      <c r="P39" s="77">
        <f t="shared" si="4"/>
        <v>53.50491956250001</v>
      </c>
      <c r="Q39" s="77">
        <f t="shared" si="4"/>
        <v>51.302166</v>
      </c>
      <c r="R39" s="77">
        <f t="shared" si="4"/>
        <v>48.451350125000005</v>
      </c>
      <c r="S39" s="77">
        <f t="shared" si="4"/>
        <v>50.576709281250004</v>
      </c>
      <c r="T39" s="77">
        <f t="shared" si="4"/>
        <v>52.2044616875</v>
      </c>
      <c r="U39" s="77">
        <f t="shared" si="4"/>
        <v>53.536435749999995</v>
      </c>
      <c r="V39" s="77">
        <f t="shared" si="4"/>
        <v>58.57800722</v>
      </c>
      <c r="W39" s="77">
        <f t="shared" si="4"/>
        <v>55.97458325</v>
      </c>
      <c r="X39" s="77">
        <f t="shared" si="4"/>
        <v>55.177430030000004</v>
      </c>
      <c r="Y39" s="77">
        <f t="shared" si="4"/>
        <v>53.845231469999995</v>
      </c>
      <c r="Z39" s="77">
        <f t="shared" si="4"/>
        <v>54.053825749999994</v>
      </c>
      <c r="AA39" s="77">
        <f t="shared" si="4"/>
        <v>57.64694372</v>
      </c>
      <c r="AB39" s="77">
        <f t="shared" si="4"/>
        <v>55.75829006</v>
      </c>
      <c r="AC39" s="77">
        <f t="shared" si="4"/>
        <v>62.98466253000001</v>
      </c>
      <c r="AD39" s="77">
        <f t="shared" si="4"/>
        <v>55.05067428000001</v>
      </c>
      <c r="AE39" s="77">
        <f t="shared" si="4"/>
        <v>52.02363638</v>
      </c>
      <c r="AF39" s="77">
        <f t="shared" si="4"/>
        <v>52.433789159999996</v>
      </c>
      <c r="AG39" s="40"/>
    </row>
    <row r="40" spans="1:33" ht="23.25">
      <c r="A40" s="8" t="s">
        <v>17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45"/>
    </row>
    <row r="41" spans="1:33" ht="23.25">
      <c r="A41" s="9" t="s">
        <v>22</v>
      </c>
      <c r="B41" s="77">
        <f aca="true" t="shared" si="5" ref="B41:AF41">B39-B40</f>
        <v>53.834601</v>
      </c>
      <c r="C41" s="77">
        <f t="shared" si="5"/>
        <v>54.019845625</v>
      </c>
      <c r="D41" s="77">
        <f t="shared" si="5"/>
        <v>49.819550750000005</v>
      </c>
      <c r="E41" s="77">
        <f t="shared" si="5"/>
        <v>53.021834187500005</v>
      </c>
      <c r="F41" s="77">
        <f t="shared" si="5"/>
        <v>52.005933625</v>
      </c>
      <c r="G41" s="77">
        <f t="shared" si="5"/>
        <v>52.46948199999999</v>
      </c>
      <c r="H41" s="77">
        <f t="shared" si="5"/>
        <v>51.32156675</v>
      </c>
      <c r="I41" s="77">
        <f t="shared" si="5"/>
        <v>51.923642625</v>
      </c>
      <c r="J41" s="77">
        <f t="shared" si="5"/>
        <v>51.825979437499996</v>
      </c>
      <c r="K41" s="77">
        <f t="shared" si="5"/>
        <v>54.99315075</v>
      </c>
      <c r="L41" s="77">
        <f t="shared" si="5"/>
        <v>55.554387999999996</v>
      </c>
      <c r="M41" s="77">
        <f t="shared" si="5"/>
        <v>55.024804625</v>
      </c>
      <c r="N41" s="77">
        <f t="shared" si="5"/>
        <v>49.92538731249999</v>
      </c>
      <c r="O41" s="77">
        <f t="shared" si="5"/>
        <v>54.27636196875</v>
      </c>
      <c r="P41" s="77">
        <f t="shared" si="5"/>
        <v>53.50491956250001</v>
      </c>
      <c r="Q41" s="77">
        <f t="shared" si="5"/>
        <v>51.302166</v>
      </c>
      <c r="R41" s="77">
        <f t="shared" si="5"/>
        <v>48.451350125000005</v>
      </c>
      <c r="S41" s="77">
        <f t="shared" si="5"/>
        <v>50.576709281250004</v>
      </c>
      <c r="T41" s="77">
        <f t="shared" si="5"/>
        <v>52.2044616875</v>
      </c>
      <c r="U41" s="77">
        <f t="shared" si="5"/>
        <v>53.536435749999995</v>
      </c>
      <c r="V41" s="77">
        <f t="shared" si="5"/>
        <v>58.57800722</v>
      </c>
      <c r="W41" s="77">
        <f t="shared" si="5"/>
        <v>55.97458325</v>
      </c>
      <c r="X41" s="77">
        <f t="shared" si="5"/>
        <v>55.177430030000004</v>
      </c>
      <c r="Y41" s="77">
        <f t="shared" si="5"/>
        <v>53.845231469999995</v>
      </c>
      <c r="Z41" s="77">
        <f t="shared" si="5"/>
        <v>54.053825749999994</v>
      </c>
      <c r="AA41" s="77">
        <f t="shared" si="5"/>
        <v>57.64694372</v>
      </c>
      <c r="AB41" s="77">
        <f t="shared" si="5"/>
        <v>55.75829006</v>
      </c>
      <c r="AC41" s="77">
        <f t="shared" si="5"/>
        <v>62.98466253000001</v>
      </c>
      <c r="AD41" s="77">
        <f t="shared" si="5"/>
        <v>55.05067428000001</v>
      </c>
      <c r="AE41" s="77">
        <f t="shared" si="5"/>
        <v>52.02363638</v>
      </c>
      <c r="AF41" s="77">
        <f t="shared" si="5"/>
        <v>52.433789159999996</v>
      </c>
      <c r="AG41" s="40">
        <f>AVERAGE(B41:AF41)</f>
        <v>53.64902080362905</v>
      </c>
    </row>
    <row r="42" spans="1:33" ht="23.2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44"/>
    </row>
    <row r="43" spans="1:33" ht="23.25">
      <c r="A43" s="8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17"/>
      <c r="AG43" s="47"/>
    </row>
    <row r="44" spans="2:33" ht="23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44"/>
    </row>
  </sheetData>
  <sheetProtection/>
  <printOptions/>
  <pageMargins left="0.54" right="0.18" top="0.55" bottom="0.52" header="0.5" footer="0.5"/>
  <pageSetup horizontalDpi="300" verticalDpi="300" orientation="landscape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44"/>
  <sheetViews>
    <sheetView zoomScale="55" zoomScaleNormal="55" zoomScalePageLayoutView="0" workbookViewId="0" topLeftCell="A1">
      <pane xSplit="1" ySplit="5" topLeftCell="I20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41" sqref="B41:AE41"/>
    </sheetView>
  </sheetViews>
  <sheetFormatPr defaultColWidth="8.88671875" defaultRowHeight="15"/>
  <cols>
    <col min="1" max="1" width="32.21484375" style="15" customWidth="1"/>
    <col min="2" max="2" width="10.10546875" style="15" bestFit="1" customWidth="1"/>
    <col min="3" max="18" width="9.21484375" style="15" bestFit="1" customWidth="1"/>
    <col min="19" max="31" width="8.88671875" style="15" customWidth="1"/>
    <col min="32" max="32" width="8.88671875" style="37" customWidth="1"/>
    <col min="33" max="16384" width="8.88671875" style="15" customWidth="1"/>
  </cols>
  <sheetData>
    <row r="1" spans="1:32" ht="23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03"/>
    </row>
    <row r="2" spans="1:32" ht="23.25">
      <c r="A2" s="1">
        <v>41518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103"/>
    </row>
    <row r="3" spans="1:32" ht="23.25">
      <c r="A3" s="3" t="s">
        <v>21</v>
      </c>
      <c r="Z3" s="4"/>
      <c r="AA3" s="3"/>
      <c r="AB3" s="4"/>
      <c r="AC3" s="4"/>
      <c r="AD3" s="4"/>
      <c r="AE3" s="4"/>
      <c r="AF3" s="38"/>
    </row>
    <row r="4" spans="1:35" ht="23.25">
      <c r="A4" s="6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30"/>
      <c r="AG4" s="25"/>
      <c r="AH4" s="25"/>
      <c r="AI4" s="25"/>
    </row>
    <row r="5" spans="1:32" ht="23.25">
      <c r="A5" s="8"/>
      <c r="B5" s="91">
        <v>1</v>
      </c>
      <c r="C5" s="91">
        <v>2</v>
      </c>
      <c r="D5" s="91">
        <v>3</v>
      </c>
      <c r="E5" s="91">
        <v>4</v>
      </c>
      <c r="F5" s="91">
        <v>5</v>
      </c>
      <c r="G5" s="91">
        <v>6</v>
      </c>
      <c r="H5" s="91">
        <v>7</v>
      </c>
      <c r="I5" s="91">
        <v>8</v>
      </c>
      <c r="J5" s="91">
        <v>9</v>
      </c>
      <c r="K5" s="91">
        <v>10</v>
      </c>
      <c r="L5" s="91">
        <v>11</v>
      </c>
      <c r="M5" s="91">
        <v>12</v>
      </c>
      <c r="N5" s="91">
        <v>13</v>
      </c>
      <c r="O5" s="91">
        <v>14</v>
      </c>
      <c r="P5" s="91">
        <v>15</v>
      </c>
      <c r="Q5" s="92">
        <v>16</v>
      </c>
      <c r="R5" s="92">
        <v>17</v>
      </c>
      <c r="S5" s="93">
        <v>18</v>
      </c>
      <c r="T5" s="93">
        <v>19</v>
      </c>
      <c r="U5" s="93">
        <v>20</v>
      </c>
      <c r="V5" s="93">
        <v>21</v>
      </c>
      <c r="W5" s="93">
        <v>22</v>
      </c>
      <c r="X5" s="93">
        <v>23</v>
      </c>
      <c r="Y5" s="93">
        <v>24</v>
      </c>
      <c r="Z5" s="92">
        <v>25</v>
      </c>
      <c r="AA5" s="92">
        <v>26</v>
      </c>
      <c r="AB5" s="92">
        <v>27</v>
      </c>
      <c r="AC5" s="92">
        <v>28</v>
      </c>
      <c r="AD5" s="92">
        <v>29</v>
      </c>
      <c r="AE5" s="92">
        <v>30</v>
      </c>
      <c r="AF5" s="31" t="s">
        <v>33</v>
      </c>
    </row>
    <row r="6" spans="1:32" ht="23.25">
      <c r="A6" s="9" t="s">
        <v>0</v>
      </c>
      <c r="B6" s="16"/>
      <c r="C6" s="16"/>
      <c r="D6" s="16"/>
      <c r="E6" s="16"/>
      <c r="F6" s="16"/>
      <c r="G6" s="16"/>
      <c r="H6" s="16"/>
      <c r="I6" s="74"/>
      <c r="J6" s="74"/>
      <c r="K6" s="74"/>
      <c r="L6" s="74"/>
      <c r="M6" s="74"/>
      <c r="N6" s="74"/>
      <c r="O6" s="74"/>
      <c r="P6" s="74"/>
      <c r="Q6" s="22"/>
      <c r="R6" s="22"/>
      <c r="S6" s="25"/>
      <c r="T6" s="25"/>
      <c r="U6" s="25"/>
      <c r="V6" s="25"/>
      <c r="W6" s="25"/>
      <c r="X6" s="25"/>
      <c r="Y6" s="25"/>
      <c r="Z6" s="22"/>
      <c r="AA6" s="22"/>
      <c r="AB6" s="22"/>
      <c r="AC6" s="22"/>
      <c r="AD6" s="22"/>
      <c r="AE6" s="22"/>
      <c r="AF6" s="36"/>
    </row>
    <row r="7" spans="1:32" ht="23.25">
      <c r="A7" s="8" t="s">
        <v>1</v>
      </c>
      <c r="B7" s="45">
        <v>2.3</v>
      </c>
      <c r="C7" s="45">
        <v>3.4</v>
      </c>
      <c r="D7" s="45">
        <v>2.6</v>
      </c>
      <c r="E7" s="45">
        <v>3.6</v>
      </c>
      <c r="F7" s="45">
        <v>2.8</v>
      </c>
      <c r="G7" s="45">
        <v>2.6</v>
      </c>
      <c r="H7" s="45">
        <v>1.4</v>
      </c>
      <c r="I7" s="45">
        <v>1.4</v>
      </c>
      <c r="J7" s="45">
        <v>1.1</v>
      </c>
      <c r="K7" s="45">
        <v>0.9</v>
      </c>
      <c r="L7" s="45">
        <v>1.1</v>
      </c>
      <c r="M7" s="45">
        <v>3.2</v>
      </c>
      <c r="N7" s="45">
        <v>2.5</v>
      </c>
      <c r="O7" s="45">
        <v>2.2</v>
      </c>
      <c r="P7" s="45">
        <v>2.3</v>
      </c>
      <c r="Q7" s="45">
        <v>2.5</v>
      </c>
      <c r="R7" s="45">
        <v>3.3</v>
      </c>
      <c r="S7" s="45">
        <v>2.9</v>
      </c>
      <c r="T7" s="45">
        <v>2.2</v>
      </c>
      <c r="U7" s="45">
        <v>3</v>
      </c>
      <c r="V7" s="45">
        <v>0.9</v>
      </c>
      <c r="W7" s="45">
        <v>1.3</v>
      </c>
      <c r="X7" s="45">
        <v>1.7</v>
      </c>
      <c r="Y7" s="45">
        <v>2.2</v>
      </c>
      <c r="Z7" s="45">
        <v>2.3</v>
      </c>
      <c r="AA7" s="45">
        <v>1.5</v>
      </c>
      <c r="AB7" s="45">
        <v>1.3</v>
      </c>
      <c r="AC7" s="45">
        <v>2.1</v>
      </c>
      <c r="AD7" s="45">
        <v>1.9</v>
      </c>
      <c r="AE7" s="45">
        <v>2.1</v>
      </c>
      <c r="AF7" s="45"/>
    </row>
    <row r="8" spans="1:32" ht="23.25">
      <c r="A8" s="8" t="s">
        <v>2</v>
      </c>
      <c r="B8" s="45">
        <v>13.9</v>
      </c>
      <c r="C8" s="45">
        <v>12.8</v>
      </c>
      <c r="D8" s="45">
        <v>12.4</v>
      </c>
      <c r="E8" s="45">
        <v>12.1</v>
      </c>
      <c r="F8" s="45">
        <v>13.9</v>
      </c>
      <c r="G8" s="45">
        <v>14.5</v>
      </c>
      <c r="H8" s="45">
        <v>13.6</v>
      </c>
      <c r="I8" s="45">
        <v>14.3</v>
      </c>
      <c r="J8" s="45">
        <v>14.8</v>
      </c>
      <c r="K8" s="45">
        <v>15.2</v>
      </c>
      <c r="L8" s="45">
        <v>17</v>
      </c>
      <c r="M8" s="45">
        <v>18.3</v>
      </c>
      <c r="N8" s="45">
        <v>14.6</v>
      </c>
      <c r="O8" s="45">
        <v>13.3</v>
      </c>
      <c r="P8" s="45">
        <v>14.1</v>
      </c>
      <c r="Q8" s="45">
        <v>12.9</v>
      </c>
      <c r="R8" s="45">
        <v>12.2</v>
      </c>
      <c r="S8" s="45">
        <v>14.3</v>
      </c>
      <c r="T8" s="45">
        <v>13.7</v>
      </c>
      <c r="U8" s="45">
        <v>13.8</v>
      </c>
      <c r="V8" s="45">
        <v>14</v>
      </c>
      <c r="W8" s="45">
        <v>13.5</v>
      </c>
      <c r="X8" s="45">
        <v>12.7</v>
      </c>
      <c r="Y8" s="45">
        <v>14.5</v>
      </c>
      <c r="Z8" s="45">
        <v>14.6</v>
      </c>
      <c r="AA8" s="45">
        <v>14.5</v>
      </c>
      <c r="AB8" s="45">
        <v>14.5</v>
      </c>
      <c r="AC8" s="45">
        <v>14.3</v>
      </c>
      <c r="AD8" s="45">
        <v>13.6</v>
      </c>
      <c r="AE8" s="45">
        <v>13.3</v>
      </c>
      <c r="AF8" s="45"/>
    </row>
    <row r="9" spans="1:32" ht="23.25">
      <c r="A9" s="8"/>
      <c r="B9" s="77">
        <f aca="true" t="shared" si="0" ref="B9:AE9">SUM(B7:B8)</f>
        <v>16.2</v>
      </c>
      <c r="C9" s="77">
        <f t="shared" si="0"/>
        <v>16.2</v>
      </c>
      <c r="D9" s="77">
        <f t="shared" si="0"/>
        <v>15</v>
      </c>
      <c r="E9" s="77">
        <f t="shared" si="0"/>
        <v>15.7</v>
      </c>
      <c r="F9" s="77">
        <f t="shared" si="0"/>
        <v>16.7</v>
      </c>
      <c r="G9" s="77">
        <f t="shared" si="0"/>
        <v>17.1</v>
      </c>
      <c r="H9" s="77">
        <f t="shared" si="0"/>
        <v>15</v>
      </c>
      <c r="I9" s="77">
        <f t="shared" si="0"/>
        <v>15.700000000000001</v>
      </c>
      <c r="J9" s="77">
        <f t="shared" si="0"/>
        <v>15.9</v>
      </c>
      <c r="K9" s="77">
        <f t="shared" si="0"/>
        <v>16.099999999999998</v>
      </c>
      <c r="L9" s="77">
        <f t="shared" si="0"/>
        <v>18.1</v>
      </c>
      <c r="M9" s="77">
        <f t="shared" si="0"/>
        <v>21.5</v>
      </c>
      <c r="N9" s="77">
        <f t="shared" si="0"/>
        <v>17.1</v>
      </c>
      <c r="O9" s="77">
        <f t="shared" si="0"/>
        <v>15.5</v>
      </c>
      <c r="P9" s="77">
        <f t="shared" si="0"/>
        <v>16.4</v>
      </c>
      <c r="Q9" s="77">
        <f t="shared" si="0"/>
        <v>15.4</v>
      </c>
      <c r="R9" s="77">
        <f t="shared" si="0"/>
        <v>15.5</v>
      </c>
      <c r="S9" s="77">
        <f t="shared" si="0"/>
        <v>17.2</v>
      </c>
      <c r="T9" s="77">
        <f t="shared" si="0"/>
        <v>15.899999999999999</v>
      </c>
      <c r="U9" s="77">
        <f t="shared" si="0"/>
        <v>16.8</v>
      </c>
      <c r="V9" s="77">
        <f t="shared" si="0"/>
        <v>14.9</v>
      </c>
      <c r="W9" s="77">
        <f t="shared" si="0"/>
        <v>14.8</v>
      </c>
      <c r="X9" s="77">
        <f t="shared" si="0"/>
        <v>14.399999999999999</v>
      </c>
      <c r="Y9" s="77">
        <f t="shared" si="0"/>
        <v>16.7</v>
      </c>
      <c r="Z9" s="77">
        <f t="shared" si="0"/>
        <v>16.9</v>
      </c>
      <c r="AA9" s="77">
        <f t="shared" si="0"/>
        <v>16</v>
      </c>
      <c r="AB9" s="77">
        <f t="shared" si="0"/>
        <v>15.8</v>
      </c>
      <c r="AC9" s="77">
        <f t="shared" si="0"/>
        <v>16.400000000000002</v>
      </c>
      <c r="AD9" s="77">
        <f t="shared" si="0"/>
        <v>15.5</v>
      </c>
      <c r="AE9" s="77">
        <f t="shared" si="0"/>
        <v>15.4</v>
      </c>
      <c r="AF9" s="40">
        <f>AVERAGE(B9:AE9)</f>
        <v>16.193333333333328</v>
      </c>
    </row>
    <row r="10" spans="1:32" ht="23.25">
      <c r="A10" s="9" t="s">
        <v>3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45"/>
    </row>
    <row r="11" spans="1:32" ht="20.25">
      <c r="A11" s="8" t="s">
        <v>19</v>
      </c>
      <c r="B11" s="113">
        <f>14.9-0.351</f>
        <v>14.549</v>
      </c>
      <c r="C11" s="113">
        <f>16.641-0.35</f>
        <v>16.290999999999997</v>
      </c>
      <c r="D11" s="113">
        <f>15.735-0.362</f>
        <v>15.373</v>
      </c>
      <c r="E11" s="113">
        <f>15.99-0.383</f>
        <v>15.607</v>
      </c>
      <c r="F11" s="113">
        <f>16.122-0.387</f>
        <v>15.735</v>
      </c>
      <c r="G11" s="113">
        <f>15.297-0.376</f>
        <v>14.921000000000001</v>
      </c>
      <c r="H11" s="113">
        <f>15.588-0.394</f>
        <v>15.193999999999999</v>
      </c>
      <c r="I11" s="113">
        <f>15.251-0.352</f>
        <v>14.899</v>
      </c>
      <c r="J11" s="113">
        <f>15.41</f>
        <v>15.41</v>
      </c>
      <c r="K11" s="113">
        <f>15.361-0.11</f>
        <v>15.251000000000001</v>
      </c>
      <c r="L11" s="113">
        <f>15.207-0.068</f>
        <v>15.139000000000001</v>
      </c>
      <c r="M11" s="113">
        <f>15.851</f>
        <v>15.851</v>
      </c>
      <c r="N11" s="113">
        <f>15.565</f>
        <v>15.565</v>
      </c>
      <c r="O11" s="113">
        <v>14.94</v>
      </c>
      <c r="P11" s="113">
        <v>15.253</v>
      </c>
      <c r="Q11" s="113">
        <f>15.489-0.041</f>
        <v>15.448</v>
      </c>
      <c r="R11" s="113">
        <f>15.954-0.242</f>
        <v>15.712</v>
      </c>
      <c r="S11" s="113">
        <f>16.008-0.243</f>
        <v>15.764999999999999</v>
      </c>
      <c r="T11" s="113">
        <f>15.699-0.244</f>
        <v>15.455</v>
      </c>
      <c r="U11" s="113">
        <f>15.814-0.243</f>
        <v>15.571</v>
      </c>
      <c r="V11" s="113">
        <f>15.586-0.247</f>
        <v>15.339</v>
      </c>
      <c r="W11" s="113">
        <f>15.636-0.247</f>
        <v>15.389</v>
      </c>
      <c r="X11" s="113">
        <f>15.272-0.243</f>
        <v>15.029</v>
      </c>
      <c r="Y11" s="113">
        <f>14.904-0.244</f>
        <v>14.66</v>
      </c>
      <c r="Z11" s="113">
        <f>14.875-0.249</f>
        <v>14.626</v>
      </c>
      <c r="AA11" s="113">
        <f>15.207-0.238</f>
        <v>14.969000000000001</v>
      </c>
      <c r="AB11" s="113">
        <f>15.337-0.245</f>
        <v>15.092</v>
      </c>
      <c r="AC11" s="113">
        <f>15.658-0.243</f>
        <v>15.415</v>
      </c>
      <c r="AD11" s="113">
        <f>15.865-1.386</f>
        <v>14.479000000000001</v>
      </c>
      <c r="AE11" s="113">
        <f>16.722-0.808</f>
        <v>15.914000000000001</v>
      </c>
      <c r="AF11" s="113">
        <f>AVERAGE(A11:AE11)</f>
        <v>15.2947</v>
      </c>
    </row>
    <row r="12" spans="1:32" ht="20.25">
      <c r="A12" s="7" t="s">
        <v>28</v>
      </c>
      <c r="B12" s="113">
        <v>-0.351</v>
      </c>
      <c r="C12" s="113">
        <v>-0.35</v>
      </c>
      <c r="D12" s="113">
        <v>-0.362</v>
      </c>
      <c r="E12" s="113">
        <v>-0.383</v>
      </c>
      <c r="F12" s="113">
        <v>-0.387</v>
      </c>
      <c r="G12" s="113">
        <v>-0.376</v>
      </c>
      <c r="H12" s="113">
        <v>-0.394</v>
      </c>
      <c r="I12" s="113">
        <v>-0.352</v>
      </c>
      <c r="J12" s="113">
        <v>0</v>
      </c>
      <c r="K12" s="113">
        <v>-0.11</v>
      </c>
      <c r="L12" s="113">
        <v>-0.068</v>
      </c>
      <c r="M12" s="113">
        <v>0</v>
      </c>
      <c r="N12" s="113">
        <v>0</v>
      </c>
      <c r="O12" s="113">
        <v>0</v>
      </c>
      <c r="P12" s="113">
        <v>0</v>
      </c>
      <c r="Q12" s="113">
        <v>-0.041</v>
      </c>
      <c r="R12" s="113">
        <v>-0.242</v>
      </c>
      <c r="S12" s="113">
        <v>-0.243</v>
      </c>
      <c r="T12" s="113">
        <v>-0.244</v>
      </c>
      <c r="U12" s="113">
        <v>-0.243</v>
      </c>
      <c r="V12" s="113">
        <v>-0.247</v>
      </c>
      <c r="W12" s="113">
        <v>-0.247</v>
      </c>
      <c r="X12" s="113">
        <v>-0.243</v>
      </c>
      <c r="Y12" s="113">
        <v>-0.244</v>
      </c>
      <c r="Z12" s="113">
        <v>-0.249</v>
      </c>
      <c r="AA12" s="113">
        <v>-0.238</v>
      </c>
      <c r="AB12" s="113">
        <v>-0.245</v>
      </c>
      <c r="AC12" s="113">
        <v>-0.243</v>
      </c>
      <c r="AD12" s="113">
        <v>-1.386</v>
      </c>
      <c r="AE12" s="113">
        <v>0.808</v>
      </c>
      <c r="AF12" s="113">
        <f>AVERAGE(A12:AE12)</f>
        <v>-0.22266666666666665</v>
      </c>
    </row>
    <row r="13" spans="1:32" ht="20.25">
      <c r="A13" s="8" t="s">
        <v>5</v>
      </c>
      <c r="B13" s="113">
        <v>2.851</v>
      </c>
      <c r="C13" s="113">
        <v>2.872</v>
      </c>
      <c r="D13" s="113">
        <v>2.9</v>
      </c>
      <c r="E13" s="113">
        <v>2.892</v>
      </c>
      <c r="F13" s="113">
        <v>2.93</v>
      </c>
      <c r="G13" s="113">
        <v>2.914</v>
      </c>
      <c r="H13" s="113">
        <v>2.863</v>
      </c>
      <c r="I13" s="113">
        <v>2.889</v>
      </c>
      <c r="J13" s="113">
        <v>1.097</v>
      </c>
      <c r="K13" s="113">
        <v>4.445</v>
      </c>
      <c r="L13" s="113">
        <v>2.961</v>
      </c>
      <c r="M13" s="113">
        <v>2.842</v>
      </c>
      <c r="N13" s="113">
        <v>2.885</v>
      </c>
      <c r="O13" s="113">
        <v>2.847</v>
      </c>
      <c r="P13" s="113">
        <v>2.903</v>
      </c>
      <c r="Q13" s="113">
        <v>2.912</v>
      </c>
      <c r="R13" s="113">
        <v>2.866</v>
      </c>
      <c r="S13" s="113">
        <v>2.89</v>
      </c>
      <c r="T13" s="113">
        <v>2.914</v>
      </c>
      <c r="U13" s="113">
        <v>2.89</v>
      </c>
      <c r="V13" s="113">
        <v>2.825</v>
      </c>
      <c r="W13" s="113">
        <v>2.897</v>
      </c>
      <c r="X13" s="113">
        <v>2.895</v>
      </c>
      <c r="Y13" s="113">
        <v>2.893</v>
      </c>
      <c r="Z13" s="113">
        <v>2.844</v>
      </c>
      <c r="AA13" s="113">
        <v>2.88</v>
      </c>
      <c r="AB13" s="113">
        <v>2.883</v>
      </c>
      <c r="AC13" s="113">
        <v>2.896</v>
      </c>
      <c r="AD13" s="113">
        <v>2.911</v>
      </c>
      <c r="AE13" s="113">
        <v>2.889</v>
      </c>
      <c r="AF13" s="113">
        <f>AVERAGE(A13:AE13)</f>
        <v>2.879199999999999</v>
      </c>
    </row>
    <row r="14" spans="1:32" ht="23.25">
      <c r="A14" s="8" t="s">
        <v>6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45"/>
    </row>
    <row r="15" spans="1:32" ht="23.25">
      <c r="A15" s="8" t="s">
        <v>7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45"/>
    </row>
    <row r="16" spans="1:32" ht="23.25">
      <c r="A16" s="8"/>
      <c r="B16" s="77">
        <f aca="true" t="shared" si="1" ref="B16:AE16">SUM(B11:B15)</f>
        <v>17.049</v>
      </c>
      <c r="C16" s="77">
        <f t="shared" si="1"/>
        <v>18.812999999999995</v>
      </c>
      <c r="D16" s="77">
        <f t="shared" si="1"/>
        <v>17.910999999999998</v>
      </c>
      <c r="E16" s="77">
        <f t="shared" si="1"/>
        <v>18.116</v>
      </c>
      <c r="F16" s="77">
        <f t="shared" si="1"/>
        <v>18.278</v>
      </c>
      <c r="G16" s="77">
        <f t="shared" si="1"/>
        <v>17.459000000000003</v>
      </c>
      <c r="H16" s="77">
        <f t="shared" si="1"/>
        <v>17.663</v>
      </c>
      <c r="I16" s="77">
        <f t="shared" si="1"/>
        <v>17.436</v>
      </c>
      <c r="J16" s="77">
        <f t="shared" si="1"/>
        <v>16.507</v>
      </c>
      <c r="K16" s="77">
        <f t="shared" si="1"/>
        <v>19.586000000000002</v>
      </c>
      <c r="L16" s="77">
        <f t="shared" si="1"/>
        <v>18.032</v>
      </c>
      <c r="M16" s="77">
        <f t="shared" si="1"/>
        <v>18.693</v>
      </c>
      <c r="N16" s="77">
        <f t="shared" si="1"/>
        <v>18.45</v>
      </c>
      <c r="O16" s="77">
        <f t="shared" si="1"/>
        <v>17.787</v>
      </c>
      <c r="P16" s="77">
        <f t="shared" si="1"/>
        <v>18.156</v>
      </c>
      <c r="Q16" s="77">
        <f t="shared" si="1"/>
        <v>18.319</v>
      </c>
      <c r="R16" s="77">
        <f t="shared" si="1"/>
        <v>18.336</v>
      </c>
      <c r="S16" s="77">
        <f t="shared" si="1"/>
        <v>18.412</v>
      </c>
      <c r="T16" s="77">
        <f t="shared" si="1"/>
        <v>18.125</v>
      </c>
      <c r="U16" s="77">
        <f t="shared" si="1"/>
        <v>18.218</v>
      </c>
      <c r="V16" s="77">
        <f t="shared" si="1"/>
        <v>17.917</v>
      </c>
      <c r="W16" s="77">
        <f t="shared" si="1"/>
        <v>18.038999999999998</v>
      </c>
      <c r="X16" s="77">
        <f t="shared" si="1"/>
        <v>17.681</v>
      </c>
      <c r="Y16" s="77">
        <f t="shared" si="1"/>
        <v>17.309</v>
      </c>
      <c r="Z16" s="77">
        <f t="shared" si="1"/>
        <v>17.221</v>
      </c>
      <c r="AA16" s="77">
        <f t="shared" si="1"/>
        <v>17.611</v>
      </c>
      <c r="AB16" s="77">
        <f t="shared" si="1"/>
        <v>17.73</v>
      </c>
      <c r="AC16" s="77">
        <f t="shared" si="1"/>
        <v>18.067999999999998</v>
      </c>
      <c r="AD16" s="77">
        <f t="shared" si="1"/>
        <v>16.004</v>
      </c>
      <c r="AE16" s="77">
        <f t="shared" si="1"/>
        <v>19.611</v>
      </c>
      <c r="AF16" s="40">
        <f>AVERAGE(B16:AE16)</f>
        <v>17.951233333333334</v>
      </c>
    </row>
    <row r="17" spans="1:32" ht="23.25">
      <c r="A17" s="16" t="s">
        <v>8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45"/>
    </row>
    <row r="18" spans="1:32" ht="23.25">
      <c r="A18" s="14" t="s">
        <v>9</v>
      </c>
      <c r="B18" s="113">
        <v>15.24</v>
      </c>
      <c r="C18" s="113">
        <v>15.65</v>
      </c>
      <c r="D18" s="113">
        <v>15.42</v>
      </c>
      <c r="E18" s="113">
        <v>17.97</v>
      </c>
      <c r="F18" s="113">
        <v>16.21</v>
      </c>
      <c r="G18" s="113">
        <v>14.56</v>
      </c>
      <c r="H18" s="113">
        <v>17.48</v>
      </c>
      <c r="I18" s="113">
        <v>14.22</v>
      </c>
      <c r="J18" s="113">
        <v>16.16</v>
      </c>
      <c r="K18" s="113">
        <v>14.57</v>
      </c>
      <c r="L18" s="113">
        <v>14.68</v>
      </c>
      <c r="M18" s="113">
        <v>17.73</v>
      </c>
      <c r="N18" s="113">
        <v>18.24</v>
      </c>
      <c r="O18" s="113">
        <v>18.2</v>
      </c>
      <c r="P18" s="113">
        <v>18.69</v>
      </c>
      <c r="Q18" s="113">
        <v>18.17</v>
      </c>
      <c r="R18" s="113">
        <v>15.67</v>
      </c>
      <c r="S18" s="113">
        <v>16.17</v>
      </c>
      <c r="T18" s="113">
        <v>16.1</v>
      </c>
      <c r="U18" s="113">
        <v>16.45</v>
      </c>
      <c r="V18" s="113">
        <v>16.92</v>
      </c>
      <c r="W18" s="113">
        <v>15.88</v>
      </c>
      <c r="X18" s="113">
        <v>15.57</v>
      </c>
      <c r="Y18" s="113">
        <v>15.93</v>
      </c>
      <c r="Z18" s="113">
        <v>15.93</v>
      </c>
      <c r="AA18" s="113">
        <v>16.15</v>
      </c>
      <c r="AB18" s="113">
        <v>15.2</v>
      </c>
      <c r="AC18" s="113">
        <v>14.15</v>
      </c>
      <c r="AD18" s="113">
        <v>18.45</v>
      </c>
      <c r="AE18" s="113">
        <v>16.21</v>
      </c>
      <c r="AF18" s="45"/>
    </row>
    <row r="19" spans="1:32" ht="23.25">
      <c r="A19" s="18" t="s">
        <v>28</v>
      </c>
      <c r="B19" s="112">
        <v>-0.36</v>
      </c>
      <c r="C19" s="112">
        <v>-0.36</v>
      </c>
      <c r="D19" s="112">
        <v>-0.36</v>
      </c>
      <c r="E19" s="112">
        <v>-0.36</v>
      </c>
      <c r="F19" s="112">
        <v>-0.36</v>
      </c>
      <c r="G19" s="112">
        <v>-0.36</v>
      </c>
      <c r="H19" s="112">
        <v>-0.36</v>
      </c>
      <c r="I19" s="112">
        <v>-0.36</v>
      </c>
      <c r="J19" s="112">
        <v>-0.36</v>
      </c>
      <c r="K19" s="112">
        <v>-0.36</v>
      </c>
      <c r="L19" s="112">
        <v>-0.36</v>
      </c>
      <c r="M19" s="112">
        <v>-0.36</v>
      </c>
      <c r="N19" s="112">
        <v>-0.36</v>
      </c>
      <c r="O19" s="112">
        <v>-0.36</v>
      </c>
      <c r="P19" s="112">
        <v>-0.31</v>
      </c>
      <c r="Q19" s="112">
        <v>-0.2</v>
      </c>
      <c r="R19" s="112">
        <v>-0.34</v>
      </c>
      <c r="S19" s="112">
        <v>-0.33</v>
      </c>
      <c r="T19" s="112">
        <v>-0.36</v>
      </c>
      <c r="U19" s="112">
        <v>-0.36</v>
      </c>
      <c r="V19" s="112">
        <v>-0.3</v>
      </c>
      <c r="W19" s="112">
        <v>-0.35</v>
      </c>
      <c r="X19" s="112">
        <v>-0.3</v>
      </c>
      <c r="Y19" s="112">
        <v>-0.32</v>
      </c>
      <c r="Z19" s="112">
        <v>-0.35</v>
      </c>
      <c r="AA19" s="112">
        <v>-0.31</v>
      </c>
      <c r="AB19" s="112">
        <v>-0.34</v>
      </c>
      <c r="AC19" s="112">
        <v>-0.36</v>
      </c>
      <c r="AD19" s="112">
        <v>-0.36</v>
      </c>
      <c r="AE19" s="112">
        <v>-0.02</v>
      </c>
      <c r="AF19" s="45"/>
    </row>
    <row r="20" spans="1:32" ht="23.25">
      <c r="A20" s="14" t="s">
        <v>10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45"/>
    </row>
    <row r="21" spans="1:32" ht="23.25">
      <c r="A21" s="14" t="s">
        <v>25</v>
      </c>
      <c r="B21" s="131">
        <v>40</v>
      </c>
      <c r="C21" s="131">
        <v>51</v>
      </c>
      <c r="D21" s="131">
        <v>40</v>
      </c>
      <c r="E21" s="131">
        <v>34</v>
      </c>
      <c r="F21" s="131">
        <v>45</v>
      </c>
      <c r="G21" s="131">
        <v>46</v>
      </c>
      <c r="H21" s="131">
        <v>50</v>
      </c>
      <c r="I21" s="131">
        <v>53</v>
      </c>
      <c r="J21" s="131">
        <v>50</v>
      </c>
      <c r="K21" s="131">
        <v>55</v>
      </c>
      <c r="L21" s="131">
        <v>48</v>
      </c>
      <c r="M21" s="131">
        <v>48</v>
      </c>
      <c r="N21" s="131">
        <v>45</v>
      </c>
      <c r="O21" s="131">
        <v>57</v>
      </c>
      <c r="P21" s="131">
        <v>50</v>
      </c>
      <c r="Q21" s="131">
        <v>50</v>
      </c>
      <c r="R21" s="131">
        <v>30</v>
      </c>
      <c r="S21" s="131">
        <v>52</v>
      </c>
      <c r="T21" s="131">
        <v>38</v>
      </c>
      <c r="U21" s="131">
        <v>53</v>
      </c>
      <c r="V21" s="131">
        <v>50</v>
      </c>
      <c r="W21" s="131">
        <v>38</v>
      </c>
      <c r="X21" s="131">
        <v>40</v>
      </c>
      <c r="Y21" s="131">
        <v>40</v>
      </c>
      <c r="Z21" s="131">
        <v>30</v>
      </c>
      <c r="AA21" s="131">
        <v>50</v>
      </c>
      <c r="AB21" s="131">
        <v>50</v>
      </c>
      <c r="AC21" s="131">
        <v>56</v>
      </c>
      <c r="AD21" s="131">
        <v>52</v>
      </c>
      <c r="AE21" s="131">
        <v>50</v>
      </c>
      <c r="AF21" s="149"/>
    </row>
    <row r="22" spans="1:32" ht="23.25">
      <c r="A22" s="14" t="s">
        <v>24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45"/>
    </row>
    <row r="23" spans="1:32" ht="23.25">
      <c r="A23" s="14" t="s">
        <v>26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45"/>
    </row>
    <row r="24" spans="1:32" ht="23.25">
      <c r="A24" s="14" t="s">
        <v>27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45"/>
    </row>
    <row r="25" spans="1:32" ht="23.25">
      <c r="A25" s="14" t="s">
        <v>18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45"/>
    </row>
    <row r="26" spans="1:32" ht="23.25">
      <c r="A26" s="14" t="s">
        <v>5</v>
      </c>
      <c r="B26" s="113">
        <v>0.4</v>
      </c>
      <c r="C26" s="113">
        <v>0.4</v>
      </c>
      <c r="D26" s="113">
        <v>0.4</v>
      </c>
      <c r="E26" s="113">
        <v>0.4</v>
      </c>
      <c r="F26" s="113">
        <v>0.4</v>
      </c>
      <c r="G26" s="113">
        <v>0.4</v>
      </c>
      <c r="H26" s="113">
        <v>0.4</v>
      </c>
      <c r="I26" s="113">
        <v>0.4</v>
      </c>
      <c r="J26" s="113">
        <v>0.4</v>
      </c>
      <c r="K26" s="113">
        <v>0.5</v>
      </c>
      <c r="L26" s="113">
        <v>0.5</v>
      </c>
      <c r="M26" s="113">
        <v>0.5</v>
      </c>
      <c r="N26" s="113">
        <v>0.5</v>
      </c>
      <c r="O26" s="113">
        <v>0.5</v>
      </c>
      <c r="P26" s="113">
        <v>0.5</v>
      </c>
      <c r="Q26" s="113">
        <v>0.18</v>
      </c>
      <c r="R26" s="113">
        <v>0.18</v>
      </c>
      <c r="S26" s="113">
        <v>0.18</v>
      </c>
      <c r="T26" s="113">
        <v>0.18</v>
      </c>
      <c r="U26" s="113">
        <v>0.18</v>
      </c>
      <c r="V26" s="113">
        <v>0.18</v>
      </c>
      <c r="W26" s="113">
        <v>0.3</v>
      </c>
      <c r="X26" s="113">
        <v>0.3</v>
      </c>
      <c r="Y26" s="113">
        <v>0.3</v>
      </c>
      <c r="Z26" s="113">
        <v>0.3</v>
      </c>
      <c r="AA26" s="113">
        <v>0.3</v>
      </c>
      <c r="AB26" s="113">
        <v>0.3</v>
      </c>
      <c r="AC26" s="113">
        <v>0.3</v>
      </c>
      <c r="AD26" s="113">
        <v>0.3</v>
      </c>
      <c r="AE26" s="113">
        <v>0.3</v>
      </c>
      <c r="AF26" s="45"/>
    </row>
    <row r="27" spans="1:32" ht="23.25">
      <c r="A27" s="14" t="s">
        <v>11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45"/>
    </row>
    <row r="28" spans="1:32" ht="23.25">
      <c r="A28" s="14" t="s">
        <v>7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45"/>
    </row>
    <row r="29" spans="1:32" ht="23.25">
      <c r="A29" s="8"/>
      <c r="B29" s="77">
        <f>SUM(B18+B19+B20+B25+B26+B27+B28)</f>
        <v>15.280000000000001</v>
      </c>
      <c r="C29" s="77">
        <f aca="true" t="shared" si="2" ref="C29:AE29">SUM(C18+C19+C20+C25+C26+C27+C28)</f>
        <v>15.690000000000001</v>
      </c>
      <c r="D29" s="77">
        <f t="shared" si="2"/>
        <v>15.46</v>
      </c>
      <c r="E29" s="77">
        <f t="shared" si="2"/>
        <v>18.009999999999998</v>
      </c>
      <c r="F29" s="77">
        <f t="shared" si="2"/>
        <v>16.25</v>
      </c>
      <c r="G29" s="77">
        <f t="shared" si="2"/>
        <v>14.600000000000001</v>
      </c>
      <c r="H29" s="77">
        <f t="shared" si="2"/>
        <v>17.52</v>
      </c>
      <c r="I29" s="77">
        <f t="shared" si="2"/>
        <v>14.260000000000002</v>
      </c>
      <c r="J29" s="77">
        <f t="shared" si="2"/>
        <v>16.2</v>
      </c>
      <c r="K29" s="77">
        <f t="shared" si="2"/>
        <v>14.71</v>
      </c>
      <c r="L29" s="77">
        <f t="shared" si="2"/>
        <v>14.82</v>
      </c>
      <c r="M29" s="77">
        <f t="shared" si="2"/>
        <v>17.87</v>
      </c>
      <c r="N29" s="77">
        <f t="shared" si="2"/>
        <v>18.38</v>
      </c>
      <c r="O29" s="77">
        <f t="shared" si="2"/>
        <v>18.34</v>
      </c>
      <c r="P29" s="77">
        <f t="shared" si="2"/>
        <v>18.880000000000003</v>
      </c>
      <c r="Q29" s="77">
        <f t="shared" si="2"/>
        <v>18.150000000000002</v>
      </c>
      <c r="R29" s="77">
        <f t="shared" si="2"/>
        <v>15.51</v>
      </c>
      <c r="S29" s="77">
        <f t="shared" si="2"/>
        <v>16.020000000000003</v>
      </c>
      <c r="T29" s="77">
        <f t="shared" si="2"/>
        <v>15.920000000000002</v>
      </c>
      <c r="U29" s="77">
        <f t="shared" si="2"/>
        <v>16.27</v>
      </c>
      <c r="V29" s="77">
        <f t="shared" si="2"/>
        <v>16.8</v>
      </c>
      <c r="W29" s="77">
        <f t="shared" si="2"/>
        <v>15.830000000000002</v>
      </c>
      <c r="X29" s="77">
        <f t="shared" si="2"/>
        <v>15.57</v>
      </c>
      <c r="Y29" s="77">
        <f t="shared" si="2"/>
        <v>15.91</v>
      </c>
      <c r="Z29" s="77">
        <f t="shared" si="2"/>
        <v>15.88</v>
      </c>
      <c r="AA29" s="77">
        <f t="shared" si="2"/>
        <v>16.139999999999997</v>
      </c>
      <c r="AB29" s="77">
        <f t="shared" si="2"/>
        <v>15.16</v>
      </c>
      <c r="AC29" s="77">
        <f t="shared" si="2"/>
        <v>14.090000000000002</v>
      </c>
      <c r="AD29" s="77">
        <f t="shared" si="2"/>
        <v>18.39</v>
      </c>
      <c r="AE29" s="77">
        <f t="shared" si="2"/>
        <v>16.490000000000002</v>
      </c>
      <c r="AF29" s="40">
        <f>AVERAGE(B29:AE29)</f>
        <v>16.279999999999998</v>
      </c>
    </row>
    <row r="30" spans="1:32" ht="23.25">
      <c r="A30" s="9" t="s">
        <v>12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45"/>
    </row>
    <row r="31" spans="1:32" ht="23.25">
      <c r="A31" s="8" t="s">
        <v>13</v>
      </c>
      <c r="B31" s="45">
        <v>2</v>
      </c>
      <c r="C31" s="45">
        <v>2.4</v>
      </c>
      <c r="D31" s="45">
        <v>2.5</v>
      </c>
      <c r="E31" s="45">
        <v>2.4</v>
      </c>
      <c r="F31" s="45">
        <v>2.5</v>
      </c>
      <c r="G31" s="45">
        <v>3.1</v>
      </c>
      <c r="H31" s="45">
        <v>1.5</v>
      </c>
      <c r="I31" s="45">
        <v>2.3</v>
      </c>
      <c r="J31" s="45">
        <v>2.6</v>
      </c>
      <c r="K31" s="45">
        <v>2.6</v>
      </c>
      <c r="L31" s="45">
        <v>2.6</v>
      </c>
      <c r="M31" s="45">
        <v>2.7</v>
      </c>
      <c r="N31" s="45">
        <v>0</v>
      </c>
      <c r="O31" s="45">
        <v>0</v>
      </c>
      <c r="P31" s="45">
        <v>0</v>
      </c>
      <c r="Q31" s="45">
        <v>0</v>
      </c>
      <c r="R31" s="45">
        <v>0</v>
      </c>
      <c r="S31" s="45">
        <v>0</v>
      </c>
      <c r="T31" s="45">
        <v>0</v>
      </c>
      <c r="U31" s="45">
        <v>0</v>
      </c>
      <c r="V31" s="45">
        <v>0</v>
      </c>
      <c r="W31" s="45">
        <v>0</v>
      </c>
      <c r="X31" s="45">
        <v>0</v>
      </c>
      <c r="Y31" s="45">
        <v>2.3</v>
      </c>
      <c r="Z31" s="45">
        <v>2.1</v>
      </c>
      <c r="AA31" s="45">
        <v>2.6</v>
      </c>
      <c r="AB31" s="45">
        <v>2</v>
      </c>
      <c r="AC31" s="45">
        <v>2.4</v>
      </c>
      <c r="AD31" s="45">
        <v>2.2</v>
      </c>
      <c r="AE31" s="45">
        <v>1.9</v>
      </c>
      <c r="AF31" s="45"/>
    </row>
    <row r="32" spans="1:32" ht="23.25">
      <c r="A32" s="8" t="s">
        <v>31</v>
      </c>
      <c r="B32" s="45">
        <v>0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2.6</v>
      </c>
      <c r="O32" s="45">
        <v>2.5</v>
      </c>
      <c r="P32" s="45">
        <v>1.5</v>
      </c>
      <c r="Q32" s="45">
        <v>2.4</v>
      </c>
      <c r="R32" s="45">
        <v>2.3</v>
      </c>
      <c r="S32" s="45">
        <v>2.6</v>
      </c>
      <c r="T32" s="45">
        <v>2.1</v>
      </c>
      <c r="U32" s="45">
        <v>2.3</v>
      </c>
      <c r="V32" s="45">
        <v>2.3</v>
      </c>
      <c r="W32" s="45">
        <v>1.5</v>
      </c>
      <c r="X32" s="45">
        <v>2.5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f>SUM(B32:AE32)</f>
        <v>24.6</v>
      </c>
    </row>
    <row r="33" spans="1:32" ht="23.25">
      <c r="A33" s="8" t="s">
        <v>4</v>
      </c>
      <c r="B33" s="45">
        <v>1.4</v>
      </c>
      <c r="C33" s="45">
        <v>1.4</v>
      </c>
      <c r="D33" s="45">
        <v>1.4</v>
      </c>
      <c r="E33" s="45">
        <v>1.4</v>
      </c>
      <c r="F33" s="45">
        <v>1.4</v>
      </c>
      <c r="G33" s="45">
        <v>1.4</v>
      </c>
      <c r="H33" s="45">
        <v>1.4</v>
      </c>
      <c r="I33" s="45">
        <v>1.4</v>
      </c>
      <c r="J33" s="45">
        <v>1.4</v>
      </c>
      <c r="K33" s="45">
        <v>1.4</v>
      </c>
      <c r="L33" s="45">
        <v>1.4</v>
      </c>
      <c r="M33" s="45">
        <v>1.4</v>
      </c>
      <c r="N33" s="45">
        <v>1.4</v>
      </c>
      <c r="O33" s="45">
        <v>1.4</v>
      </c>
      <c r="P33" s="45">
        <v>1.4</v>
      </c>
      <c r="Q33" s="45">
        <v>1.4</v>
      </c>
      <c r="R33" s="45">
        <v>1.4</v>
      </c>
      <c r="S33" s="45">
        <v>1.4</v>
      </c>
      <c r="T33" s="45">
        <v>1.4</v>
      </c>
      <c r="U33" s="45">
        <v>1.4</v>
      </c>
      <c r="V33" s="45">
        <v>1.4</v>
      </c>
      <c r="W33" s="45">
        <v>1.4</v>
      </c>
      <c r="X33" s="45">
        <v>1.4</v>
      </c>
      <c r="Y33" s="45">
        <v>1.4</v>
      </c>
      <c r="Z33" s="45">
        <v>1.4</v>
      </c>
      <c r="AA33" s="45">
        <v>1.4</v>
      </c>
      <c r="AB33" s="45">
        <v>1.4</v>
      </c>
      <c r="AC33" s="45">
        <v>1.4</v>
      </c>
      <c r="AD33" s="45">
        <v>1.4</v>
      </c>
      <c r="AE33" s="45">
        <v>1.4</v>
      </c>
      <c r="AF33" s="45"/>
    </row>
    <row r="34" spans="1:32" ht="23.25">
      <c r="A34" s="8" t="s">
        <v>14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/>
    </row>
    <row r="35" spans="1:32" ht="23.25">
      <c r="A35" s="8" t="s">
        <v>11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/>
    </row>
    <row r="36" spans="1:32" ht="23.25">
      <c r="A36" s="9"/>
      <c r="B36" s="77">
        <f aca="true" t="shared" si="3" ref="B36:AE36">SUM(B31:B35)</f>
        <v>3.4</v>
      </c>
      <c r="C36" s="77">
        <f t="shared" si="3"/>
        <v>3.8</v>
      </c>
      <c r="D36" s="77">
        <f t="shared" si="3"/>
        <v>3.9</v>
      </c>
      <c r="E36" s="77">
        <f t="shared" si="3"/>
        <v>3.8</v>
      </c>
      <c r="F36" s="77">
        <f t="shared" si="3"/>
        <v>3.9</v>
      </c>
      <c r="G36" s="77">
        <f t="shared" si="3"/>
        <v>4.5</v>
      </c>
      <c r="H36" s="77">
        <f t="shared" si="3"/>
        <v>2.9</v>
      </c>
      <c r="I36" s="77">
        <f t="shared" si="3"/>
        <v>3.6999999999999997</v>
      </c>
      <c r="J36" s="77">
        <f t="shared" si="3"/>
        <v>4</v>
      </c>
      <c r="K36" s="77">
        <f t="shared" si="3"/>
        <v>4</v>
      </c>
      <c r="L36" s="77">
        <f t="shared" si="3"/>
        <v>4</v>
      </c>
      <c r="M36" s="77">
        <f t="shared" si="3"/>
        <v>4.1</v>
      </c>
      <c r="N36" s="77">
        <f t="shared" si="3"/>
        <v>4</v>
      </c>
      <c r="O36" s="77">
        <f t="shared" si="3"/>
        <v>3.9</v>
      </c>
      <c r="P36" s="77">
        <f t="shared" si="3"/>
        <v>2.9</v>
      </c>
      <c r="Q36" s="77">
        <f t="shared" si="3"/>
        <v>3.8</v>
      </c>
      <c r="R36" s="77">
        <f t="shared" si="3"/>
        <v>3.6999999999999997</v>
      </c>
      <c r="S36" s="77">
        <f t="shared" si="3"/>
        <v>4</v>
      </c>
      <c r="T36" s="77">
        <f t="shared" si="3"/>
        <v>3.5</v>
      </c>
      <c r="U36" s="77">
        <f t="shared" si="3"/>
        <v>3.6999999999999997</v>
      </c>
      <c r="V36" s="77">
        <f t="shared" si="3"/>
        <v>3.6999999999999997</v>
      </c>
      <c r="W36" s="77">
        <f t="shared" si="3"/>
        <v>2.9</v>
      </c>
      <c r="X36" s="77">
        <f t="shared" si="3"/>
        <v>3.9</v>
      </c>
      <c r="Y36" s="77">
        <f t="shared" si="3"/>
        <v>3.6999999999999997</v>
      </c>
      <c r="Z36" s="77">
        <f t="shared" si="3"/>
        <v>3.5</v>
      </c>
      <c r="AA36" s="77">
        <f t="shared" si="3"/>
        <v>4</v>
      </c>
      <c r="AB36" s="77">
        <f t="shared" si="3"/>
        <v>3.4</v>
      </c>
      <c r="AC36" s="77">
        <f t="shared" si="3"/>
        <v>3.8</v>
      </c>
      <c r="AD36" s="77">
        <f t="shared" si="3"/>
        <v>3.6</v>
      </c>
      <c r="AE36" s="77">
        <f t="shared" si="3"/>
        <v>3.3</v>
      </c>
      <c r="AF36" s="40">
        <f>AVERAGE(B36:AE36)</f>
        <v>3.71</v>
      </c>
    </row>
    <row r="37" spans="1:32" ht="23.25">
      <c r="A37" s="9" t="s">
        <v>15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40" t="s">
        <v>29</v>
      </c>
    </row>
    <row r="38" spans="1:32" ht="23.25">
      <c r="A38" s="8" t="s">
        <v>4</v>
      </c>
      <c r="B38" s="113">
        <v>0.29363009375</v>
      </c>
      <c r="C38" s="113">
        <v>0.3271884375</v>
      </c>
      <c r="D38" s="113">
        <v>0.44886996875</v>
      </c>
      <c r="E38" s="113">
        <v>0.681142125</v>
      </c>
      <c r="F38" s="113">
        <v>0.40916196875</v>
      </c>
      <c r="G38" s="113">
        <v>0.638085625</v>
      </c>
      <c r="H38" s="113">
        <v>0.35850903125</v>
      </c>
      <c r="I38" s="113">
        <v>0.33933275</v>
      </c>
      <c r="J38" s="113">
        <v>0.48246825</v>
      </c>
      <c r="K38" s="113">
        <v>0.4807351875</v>
      </c>
      <c r="L38" s="113">
        <v>0.693557625</v>
      </c>
      <c r="M38" s="113">
        <v>0.46556434375</v>
      </c>
      <c r="N38" s="113">
        <v>0.652645625</v>
      </c>
      <c r="O38" s="113">
        <v>0.38805284375</v>
      </c>
      <c r="P38" s="113">
        <v>0.3599553125</v>
      </c>
      <c r="Q38" s="113">
        <v>0.4974228125</v>
      </c>
      <c r="R38" s="113">
        <v>0.6658610625</v>
      </c>
      <c r="S38" s="113">
        <v>0.411864375</v>
      </c>
      <c r="T38" s="113">
        <v>0.68114025</v>
      </c>
      <c r="U38" s="113">
        <v>0.667009875</v>
      </c>
      <c r="V38" s="113">
        <v>0.36203646875</v>
      </c>
      <c r="W38" s="113">
        <v>0.3797884375</v>
      </c>
      <c r="X38" s="113">
        <v>0.611530125</v>
      </c>
      <c r="Y38" s="113">
        <v>0.5034849375</v>
      </c>
      <c r="Z38" s="113">
        <v>0.5499971875</v>
      </c>
      <c r="AA38" s="113">
        <v>0.5629975</v>
      </c>
      <c r="AB38" s="113">
        <v>0.54568675</v>
      </c>
      <c r="AC38" s="113">
        <v>0.5082938125</v>
      </c>
      <c r="AD38" s="113">
        <v>0.40053803125</v>
      </c>
      <c r="AE38" s="113">
        <v>0.51237728125</v>
      </c>
      <c r="AF38" s="40">
        <f>AVERAGE(B38:AE38)</f>
        <v>0.49596426979166675</v>
      </c>
    </row>
    <row r="39" spans="1:32" ht="23.25">
      <c r="A39" s="8" t="s">
        <v>16</v>
      </c>
      <c r="B39" s="77">
        <f aca="true" t="shared" si="4" ref="B39:AE39">SUM(B38,B36,B29,B16,B9)</f>
        <v>52.22263009375</v>
      </c>
      <c r="C39" s="77">
        <f t="shared" si="4"/>
        <v>54.8301884375</v>
      </c>
      <c r="D39" s="77">
        <f t="shared" si="4"/>
        <v>52.719869968750004</v>
      </c>
      <c r="E39" s="77">
        <f t="shared" si="4"/>
        <v>56.307142125</v>
      </c>
      <c r="F39" s="77">
        <f t="shared" si="4"/>
        <v>55.53716196875</v>
      </c>
      <c r="G39" s="77">
        <f t="shared" si="4"/>
        <v>54.29708562500001</v>
      </c>
      <c r="H39" s="77">
        <f t="shared" si="4"/>
        <v>53.44150903125</v>
      </c>
      <c r="I39" s="77">
        <f t="shared" si="4"/>
        <v>51.43533275</v>
      </c>
      <c r="J39" s="77">
        <f t="shared" si="4"/>
        <v>53.08946825</v>
      </c>
      <c r="K39" s="77">
        <f t="shared" si="4"/>
        <v>54.8767351875</v>
      </c>
      <c r="L39" s="77">
        <f t="shared" si="4"/>
        <v>55.645557625</v>
      </c>
      <c r="M39" s="77">
        <f t="shared" si="4"/>
        <v>62.62856434375</v>
      </c>
      <c r="N39" s="77">
        <f t="shared" si="4"/>
        <v>58.582645625000005</v>
      </c>
      <c r="O39" s="77">
        <f t="shared" si="4"/>
        <v>55.91505284375</v>
      </c>
      <c r="P39" s="77">
        <f t="shared" si="4"/>
        <v>56.6959553125</v>
      </c>
      <c r="Q39" s="77">
        <f t="shared" si="4"/>
        <v>56.166422812499995</v>
      </c>
      <c r="R39" s="77">
        <f t="shared" si="4"/>
        <v>53.7118610625</v>
      </c>
      <c r="S39" s="77">
        <f t="shared" si="4"/>
        <v>56.043864375</v>
      </c>
      <c r="T39" s="77">
        <f t="shared" si="4"/>
        <v>54.12614025</v>
      </c>
      <c r="U39" s="77">
        <f t="shared" si="4"/>
        <v>55.655009875000005</v>
      </c>
      <c r="V39" s="77">
        <f t="shared" si="4"/>
        <v>53.67903646875</v>
      </c>
      <c r="W39" s="77">
        <f t="shared" si="4"/>
        <v>51.9487884375</v>
      </c>
      <c r="X39" s="77">
        <f t="shared" si="4"/>
        <v>52.162530124999996</v>
      </c>
      <c r="Y39" s="77">
        <f t="shared" si="4"/>
        <v>54.122484937500005</v>
      </c>
      <c r="Z39" s="77">
        <f t="shared" si="4"/>
        <v>54.050997187499995</v>
      </c>
      <c r="AA39" s="77">
        <f t="shared" si="4"/>
        <v>54.3139975</v>
      </c>
      <c r="AB39" s="77">
        <f t="shared" si="4"/>
        <v>52.635686750000005</v>
      </c>
      <c r="AC39" s="77">
        <f t="shared" si="4"/>
        <v>52.866293812500004</v>
      </c>
      <c r="AD39" s="77">
        <f t="shared" si="4"/>
        <v>53.89453803125001</v>
      </c>
      <c r="AE39" s="77">
        <f t="shared" si="4"/>
        <v>55.313377281250006</v>
      </c>
      <c r="AF39" s="40"/>
    </row>
    <row r="40" spans="1:32" ht="23.25">
      <c r="A40" s="8" t="s">
        <v>17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45"/>
    </row>
    <row r="41" spans="1:32" ht="23.25">
      <c r="A41" s="9" t="s">
        <v>22</v>
      </c>
      <c r="B41" s="77">
        <f aca="true" t="shared" si="5" ref="B41:AE41">B39-B40</f>
        <v>52.22263009375</v>
      </c>
      <c r="C41" s="77">
        <f t="shared" si="5"/>
        <v>54.8301884375</v>
      </c>
      <c r="D41" s="77">
        <f t="shared" si="5"/>
        <v>52.719869968750004</v>
      </c>
      <c r="E41" s="77">
        <f t="shared" si="5"/>
        <v>56.307142125</v>
      </c>
      <c r="F41" s="77">
        <f t="shared" si="5"/>
        <v>55.53716196875</v>
      </c>
      <c r="G41" s="77">
        <f t="shared" si="5"/>
        <v>54.29708562500001</v>
      </c>
      <c r="H41" s="77">
        <f t="shared" si="5"/>
        <v>53.44150903125</v>
      </c>
      <c r="I41" s="77">
        <f t="shared" si="5"/>
        <v>51.43533275</v>
      </c>
      <c r="J41" s="77">
        <f t="shared" si="5"/>
        <v>53.08946825</v>
      </c>
      <c r="K41" s="77">
        <f t="shared" si="5"/>
        <v>54.8767351875</v>
      </c>
      <c r="L41" s="77">
        <f t="shared" si="5"/>
        <v>55.645557625</v>
      </c>
      <c r="M41" s="77">
        <f t="shared" si="5"/>
        <v>62.62856434375</v>
      </c>
      <c r="N41" s="77">
        <f t="shared" si="5"/>
        <v>58.582645625000005</v>
      </c>
      <c r="O41" s="77">
        <f t="shared" si="5"/>
        <v>55.91505284375</v>
      </c>
      <c r="P41" s="77">
        <f t="shared" si="5"/>
        <v>56.6959553125</v>
      </c>
      <c r="Q41" s="77">
        <f t="shared" si="5"/>
        <v>56.166422812499995</v>
      </c>
      <c r="R41" s="77">
        <f t="shared" si="5"/>
        <v>53.7118610625</v>
      </c>
      <c r="S41" s="77">
        <f t="shared" si="5"/>
        <v>56.043864375</v>
      </c>
      <c r="T41" s="77">
        <f t="shared" si="5"/>
        <v>54.12614025</v>
      </c>
      <c r="U41" s="77">
        <f t="shared" si="5"/>
        <v>55.655009875000005</v>
      </c>
      <c r="V41" s="77">
        <f t="shared" si="5"/>
        <v>53.67903646875</v>
      </c>
      <c r="W41" s="77">
        <f t="shared" si="5"/>
        <v>51.9487884375</v>
      </c>
      <c r="X41" s="77">
        <f t="shared" si="5"/>
        <v>52.162530124999996</v>
      </c>
      <c r="Y41" s="77">
        <f t="shared" si="5"/>
        <v>54.122484937500005</v>
      </c>
      <c r="Z41" s="77">
        <f t="shared" si="5"/>
        <v>54.050997187499995</v>
      </c>
      <c r="AA41" s="77">
        <f t="shared" si="5"/>
        <v>54.3139975</v>
      </c>
      <c r="AB41" s="77">
        <f t="shared" si="5"/>
        <v>52.635686750000005</v>
      </c>
      <c r="AC41" s="77">
        <f t="shared" si="5"/>
        <v>52.866293812500004</v>
      </c>
      <c r="AD41" s="77">
        <f t="shared" si="5"/>
        <v>53.89453803125001</v>
      </c>
      <c r="AE41" s="77">
        <f t="shared" si="5"/>
        <v>55.313377281250006</v>
      </c>
      <c r="AF41" s="40">
        <f>AVERAGE(B41:AE41)</f>
        <v>54.630530936458335</v>
      </c>
    </row>
    <row r="42" spans="1:32" ht="23.25">
      <c r="A42" s="9"/>
      <c r="B42" s="22"/>
      <c r="C42" s="25"/>
      <c r="D42" s="25"/>
      <c r="E42" s="25"/>
      <c r="F42" s="25"/>
      <c r="G42" s="25"/>
      <c r="H42" s="18"/>
      <c r="I42" s="12"/>
      <c r="J42" s="12"/>
      <c r="K42" s="12"/>
      <c r="L42" s="12"/>
      <c r="M42" s="12"/>
      <c r="N42" s="12"/>
      <c r="O42" s="12"/>
      <c r="P42" s="12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44"/>
    </row>
    <row r="43" spans="1:32" ht="23.25">
      <c r="A43" s="8" t="s">
        <v>32</v>
      </c>
      <c r="B43" s="14"/>
      <c r="C43" s="14"/>
      <c r="D43" s="14"/>
      <c r="E43" s="14"/>
      <c r="F43" s="14"/>
      <c r="G43" s="14"/>
      <c r="H43" s="14"/>
      <c r="I43" s="17"/>
      <c r="J43" s="17"/>
      <c r="K43" s="17"/>
      <c r="L43" s="17"/>
      <c r="M43" s="17"/>
      <c r="N43" s="17"/>
      <c r="O43" s="17"/>
      <c r="P43" s="17"/>
      <c r="Q43" s="18"/>
      <c r="R43" s="18"/>
      <c r="S43" s="14"/>
      <c r="T43" s="14"/>
      <c r="U43" s="14"/>
      <c r="V43" s="14"/>
      <c r="W43" s="14"/>
      <c r="X43" s="14"/>
      <c r="Y43" s="14"/>
      <c r="Z43" s="17"/>
      <c r="AA43" s="17"/>
      <c r="AB43" s="17"/>
      <c r="AC43" s="17"/>
      <c r="AD43" s="17"/>
      <c r="AE43" s="17"/>
      <c r="AF43" s="47"/>
    </row>
    <row r="44" spans="2:32" ht="23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44"/>
    </row>
  </sheetData>
  <sheetProtection/>
  <printOptions/>
  <pageMargins left="0.46" right="0.53" top="0.66" bottom="1" header="0.5" footer="0.5"/>
  <pageSetup horizontalDpi="600" verticalDpi="600" orientation="landscape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Kauffman</dc:creator>
  <cp:keywords/>
  <dc:description/>
  <cp:lastModifiedBy>Jerrry</cp:lastModifiedBy>
  <cp:lastPrinted>2012-11-13T16:20:42Z</cp:lastPrinted>
  <dcterms:created xsi:type="dcterms:W3CDTF">1999-06-29T22:26:58Z</dcterms:created>
  <dcterms:modified xsi:type="dcterms:W3CDTF">2013-12-13T21:25:44Z</dcterms:modified>
  <cp:category/>
  <cp:version/>
  <cp:contentType/>
  <cp:contentStatus/>
</cp:coreProperties>
</file>